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0" yWindow="-210" windowWidth="19320" windowHeight="10920"/>
  </bookViews>
  <sheets>
    <sheet name="ИП 22-24 (2021.06.24)" sheetId="10" r:id="rId1"/>
  </sheets>
  <definedNames>
    <definedName name="EEE">"$#ССЫЛ!.$A$1:$T$51"</definedName>
    <definedName name="Excel_BuiltIn__FilterDatabase_4">"$#ССЫЛ!.$A$59:$O$138"</definedName>
    <definedName name="Excel_BuiltIn__FilterDatabase_4_3" localSheetId="0">#REF!</definedName>
    <definedName name="Excel_BuiltIn__FilterDatabase_4_3">#REF!</definedName>
    <definedName name="Excel_BuiltIn_Print_Area_1">"$#ССЫЛ!.$A$1:$T$51"</definedName>
    <definedName name="Excel_BuiltIn_Print_Area_10">"$#ССЫЛ!.$A$1:$T$108"</definedName>
    <definedName name="Excel_BuiltIn_Print_Area_12">"$#ССЫЛ!.$A$1:$T$54"</definedName>
    <definedName name="Excel_BuiltIn_Print_Area_12_3">"$#ССЫЛ!.$A$1:$T$55"</definedName>
    <definedName name="Excel_BuiltIn_Print_Area_15">"$#ССЫЛ!.$A$1:$T$51"</definedName>
    <definedName name="Excel_BuiltIn_Print_Area_2">"$#ССЫЛ!.$A$1:$T$49"</definedName>
    <definedName name="Excel_BuiltIn_Print_Area_3">"$#ССЫЛ!.$A$1:$T$8"</definedName>
    <definedName name="Excel_BuiltIn_Print_Area_4">"$#ССЫЛ!.$A$1:$N$58"</definedName>
    <definedName name="Excel_BuiltIn_Print_Area_4_3" localSheetId="0">#REF!</definedName>
    <definedName name="Excel_BuiltIn_Print_Area_4_3">#REF!</definedName>
    <definedName name="Excel_BuiltIn_Print_Area_8">"$#ССЫЛ!.$A$1:$T$80"</definedName>
    <definedName name="Excel_BuiltIn_Print_Area_9">"$#ССЫЛ!.$A$1:$T$41"</definedName>
    <definedName name="Excel_BuiltIn_Print_Titles_1">"$#ССЫЛ!.$A$7:$IV$9"</definedName>
    <definedName name="Excel_BuiltIn_Print_Titles_1_1">"$#ССЫЛ!.$A$7:$IV$9"</definedName>
    <definedName name="Excel_BuiltIn_Print_Titles_12">"$#ССЫЛ!.$A$2:$IV$5"</definedName>
    <definedName name="Excel_BuiltIn_Print_Titles_15">"$#ССЫЛ!.$A$7:$IV$9"</definedName>
    <definedName name="Excel_BuiltIn_Print_Titles_2">"$#ССЫЛ!.$A$6:$IV$8"</definedName>
    <definedName name="Excel_BuiltIn_Print_Titles_3">"$'Лист согласования'.$#ССЫЛ!$#ССЫЛ!:$#ССЫЛ!$#ССЫЛ!"</definedName>
    <definedName name="_xlnm.Print_Area" localSheetId="0">'ИП 22-24 (2021.06.24)'!$A$1:$Y$28</definedName>
  </definedNames>
  <calcPr calcId="145621"/>
</workbook>
</file>

<file path=xl/calcChain.xml><?xml version="1.0" encoding="utf-8"?>
<calcChain xmlns="http://schemas.openxmlformats.org/spreadsheetml/2006/main">
  <c r="AK25" i="10" l="1"/>
  <c r="AK28" i="10"/>
  <c r="AK27" i="10"/>
  <c r="AK26" i="10"/>
  <c r="AJ23" i="10"/>
  <c r="AJ21" i="10"/>
  <c r="AJ16" i="10"/>
  <c r="AJ17" i="10"/>
  <c r="AJ18" i="10"/>
  <c r="AJ19" i="10"/>
  <c r="AJ15" i="10"/>
  <c r="AJ9" i="10"/>
  <c r="AJ10" i="10"/>
  <c r="AJ11" i="10"/>
  <c r="AJ12" i="10"/>
  <c r="AJ13" i="10"/>
  <c r="AJ8" i="10"/>
  <c r="AI28" i="10"/>
  <c r="AI27" i="10"/>
  <c r="AI26" i="10"/>
  <c r="AI25" i="10"/>
  <c r="AK24" i="10"/>
  <c r="AJ24" i="10"/>
  <c r="AI24" i="10"/>
  <c r="AH24" i="10"/>
  <c r="AK22" i="10"/>
  <c r="AJ22" i="10"/>
  <c r="AI22" i="10"/>
  <c r="AH22" i="10"/>
  <c r="AG22" i="10"/>
  <c r="AI21" i="10"/>
  <c r="AK20" i="10"/>
  <c r="AJ20" i="10"/>
  <c r="AI20" i="10"/>
  <c r="AH20" i="10"/>
  <c r="AG20" i="10"/>
  <c r="AH19" i="10"/>
  <c r="AH18" i="10"/>
  <c r="AH17" i="10"/>
  <c r="AH16" i="10"/>
  <c r="AH15" i="10"/>
  <c r="AK14" i="10"/>
  <c r="AJ14" i="10"/>
  <c r="AI14" i="10"/>
  <c r="AH14" i="10"/>
  <c r="AG14" i="10"/>
  <c r="AH13" i="10"/>
  <c r="AH12" i="10"/>
  <c r="AH11" i="10"/>
  <c r="AH10" i="10"/>
  <c r="AH9" i="10"/>
  <c r="AH8" i="10"/>
  <c r="AK7" i="10"/>
  <c r="AJ7" i="10"/>
  <c r="AI7" i="10"/>
  <c r="AH7" i="10"/>
  <c r="AG7" i="10"/>
  <c r="AK2" i="10"/>
  <c r="AI2" i="10"/>
  <c r="AJ2" i="10"/>
  <c r="AH2" i="10"/>
  <c r="AF25" i="10" l="1"/>
  <c r="AF24" i="10" s="1"/>
  <c r="AG24" i="10"/>
  <c r="AG28" i="10"/>
  <c r="AG27" i="10"/>
  <c r="AG26" i="10"/>
  <c r="AF22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I6" i="10"/>
  <c r="AH6" i="10"/>
  <c r="AF7" i="10"/>
  <c r="AK6" i="10"/>
  <c r="AJ6" i="10"/>
  <c r="AE2" i="10" s="1"/>
  <c r="D33" i="10"/>
  <c r="D34" i="10" s="1"/>
  <c r="Y28" i="10"/>
  <c r="R28" i="10"/>
  <c r="D28" i="10"/>
  <c r="F28" i="10" s="1"/>
  <c r="Y27" i="10"/>
  <c r="R27" i="10"/>
  <c r="K27" i="10"/>
  <c r="AB27" i="10" s="1"/>
  <c r="F27" i="10"/>
  <c r="D27" i="10"/>
  <c r="AB26" i="10"/>
  <c r="W26" i="10"/>
  <c r="V26" i="10"/>
  <c r="U26" i="10"/>
  <c r="T26" i="10"/>
  <c r="P26" i="10"/>
  <c r="O26" i="10"/>
  <c r="N26" i="10"/>
  <c r="M26" i="10"/>
  <c r="I26" i="10"/>
  <c r="H26" i="10"/>
  <c r="G26" i="10"/>
  <c r="F26" i="10"/>
  <c r="AB25" i="10"/>
  <c r="W25" i="10"/>
  <c r="V25" i="10"/>
  <c r="U25" i="10"/>
  <c r="T25" i="10"/>
  <c r="P25" i="10"/>
  <c r="O25" i="10"/>
  <c r="N25" i="10"/>
  <c r="M25" i="10"/>
  <c r="I25" i="10"/>
  <c r="H25" i="10"/>
  <c r="G25" i="10"/>
  <c r="F25" i="10"/>
  <c r="Y24" i="10"/>
  <c r="AE28" i="10" s="1"/>
  <c r="W24" i="10"/>
  <c r="V24" i="10"/>
  <c r="U24" i="10"/>
  <c r="T24" i="10"/>
  <c r="R24" i="10"/>
  <c r="AE27" i="10" s="1"/>
  <c r="P24" i="10"/>
  <c r="O24" i="10"/>
  <c r="N24" i="10"/>
  <c r="M24" i="10"/>
  <c r="I24" i="10"/>
  <c r="H24" i="10"/>
  <c r="G24" i="10"/>
  <c r="R23" i="10"/>
  <c r="K23" i="10"/>
  <c r="Q23" i="10" s="1"/>
  <c r="Q22" i="10" s="1"/>
  <c r="D23" i="10"/>
  <c r="J23" i="10" s="1"/>
  <c r="J22" i="10" s="1"/>
  <c r="W22" i="10"/>
  <c r="T22" i="10"/>
  <c r="R22" i="10"/>
  <c r="P22" i="10"/>
  <c r="O22" i="10"/>
  <c r="N22" i="10"/>
  <c r="M22" i="10"/>
  <c r="L22" i="10"/>
  <c r="K22" i="10"/>
  <c r="I22" i="10"/>
  <c r="H22" i="10"/>
  <c r="G22" i="10"/>
  <c r="F22" i="10"/>
  <c r="Y21" i="10"/>
  <c r="K21" i="10"/>
  <c r="J21" i="10" s="1"/>
  <c r="J20" i="10" s="1"/>
  <c r="D21" i="10"/>
  <c r="P21" i="10" s="1"/>
  <c r="Y20" i="10"/>
  <c r="W20" i="10"/>
  <c r="V20" i="10"/>
  <c r="U20" i="10"/>
  <c r="T20" i="10"/>
  <c r="O20" i="10"/>
  <c r="N20" i="10"/>
  <c r="M20" i="10"/>
  <c r="K20" i="10"/>
  <c r="I20" i="10"/>
  <c r="H20" i="10"/>
  <c r="G20" i="10"/>
  <c r="F20" i="10"/>
  <c r="Y19" i="10"/>
  <c r="D19" i="10"/>
  <c r="Y18" i="10"/>
  <c r="K18" i="10"/>
  <c r="D18" i="10"/>
  <c r="J18" i="10" s="1"/>
  <c r="R17" i="10"/>
  <c r="H17" i="10"/>
  <c r="K17" i="10" s="1"/>
  <c r="D17" i="10"/>
  <c r="Y16" i="10"/>
  <c r="K16" i="10"/>
  <c r="J16" i="10"/>
  <c r="D16" i="10"/>
  <c r="X16" i="10" s="1"/>
  <c r="D15" i="10"/>
  <c r="W14" i="10"/>
  <c r="U14" i="10"/>
  <c r="T14" i="10"/>
  <c r="P14" i="10"/>
  <c r="N14" i="10"/>
  <c r="M14" i="10"/>
  <c r="I14" i="10"/>
  <c r="G14" i="10"/>
  <c r="F14" i="10"/>
  <c r="Y13" i="10"/>
  <c r="D13" i="10"/>
  <c r="H12" i="10"/>
  <c r="K12" i="10" s="1"/>
  <c r="J12" i="10" s="1"/>
  <c r="D12" i="10"/>
  <c r="V12" i="10" s="1"/>
  <c r="Y12" i="10" s="1"/>
  <c r="K11" i="10"/>
  <c r="D11" i="10"/>
  <c r="D10" i="10"/>
  <c r="D9" i="10"/>
  <c r="N9" i="10" s="1"/>
  <c r="D8" i="10"/>
  <c r="W7" i="10"/>
  <c r="T7" i="10"/>
  <c r="I7" i="10"/>
  <c r="F7" i="10"/>
  <c r="W6" i="10"/>
  <c r="T6" i="10"/>
  <c r="I6" i="10"/>
  <c r="AG6" i="10" l="1"/>
  <c r="AF6" i="10"/>
  <c r="R21" i="10"/>
  <c r="R20" i="10" s="1"/>
  <c r="P20" i="10"/>
  <c r="U23" i="10"/>
  <c r="V17" i="10"/>
  <c r="Y17" i="10" s="1"/>
  <c r="X21" i="10"/>
  <c r="X20" i="10" s="1"/>
  <c r="V15" i="10"/>
  <c r="V10" i="10"/>
  <c r="Y10" i="10" s="1"/>
  <c r="X10" i="10" s="1"/>
  <c r="D25" i="10"/>
  <c r="D26" i="10"/>
  <c r="V23" i="10"/>
  <c r="V22" i="10" s="1"/>
  <c r="Q13" i="10"/>
  <c r="J17" i="10"/>
  <c r="K28" i="10"/>
  <c r="F24" i="10"/>
  <c r="F6" i="10" s="1"/>
  <c r="H8" i="10"/>
  <c r="N8" i="10"/>
  <c r="N7" i="10" s="1"/>
  <c r="N6" i="10" s="1"/>
  <c r="O9" i="10"/>
  <c r="U9" i="10"/>
  <c r="Y9" i="10" s="1"/>
  <c r="X9" i="10" s="1"/>
  <c r="H10" i="10"/>
  <c r="K10" i="10" s="1"/>
  <c r="J10" i="10" s="1"/>
  <c r="Q11" i="10"/>
  <c r="O12" i="10"/>
  <c r="R12" i="10" s="1"/>
  <c r="Q12" i="10" s="1"/>
  <c r="X12" i="10"/>
  <c r="H15" i="10"/>
  <c r="O16" i="10"/>
  <c r="R16" i="10" s="1"/>
  <c r="X17" i="10"/>
  <c r="X18" i="10"/>
  <c r="Q21" i="10"/>
  <c r="Q20" i="10" s="1"/>
  <c r="O8" i="10"/>
  <c r="U8" i="10"/>
  <c r="P9" i="10"/>
  <c r="U11" i="10"/>
  <c r="Y11" i="10" s="1"/>
  <c r="X11" i="10" s="1"/>
  <c r="X13" i="10"/>
  <c r="Q16" i="10"/>
  <c r="Q17" i="10"/>
  <c r="O18" i="10"/>
  <c r="R18" i="10" s="1"/>
  <c r="X19" i="10"/>
  <c r="P8" i="10"/>
  <c r="P7" i="10" s="1"/>
  <c r="P6" i="10" s="1"/>
  <c r="V8" i="10"/>
  <c r="G9" i="10"/>
  <c r="M9" i="10"/>
  <c r="J11" i="10"/>
  <c r="N13" i="10"/>
  <c r="R13" i="10" s="1"/>
  <c r="Q18" i="10"/>
  <c r="O19" i="10"/>
  <c r="R19" i="10" s="1"/>
  <c r="Q19" i="10" s="1"/>
  <c r="G8" i="10"/>
  <c r="M8" i="10"/>
  <c r="H9" i="10"/>
  <c r="P10" i="10"/>
  <c r="R10" i="10" s="1"/>
  <c r="Q10" i="10" s="1"/>
  <c r="H13" i="10"/>
  <c r="K13" i="10" s="1"/>
  <c r="J13" i="10" s="1"/>
  <c r="O15" i="10"/>
  <c r="H19" i="10"/>
  <c r="K19" i="10" s="1"/>
  <c r="J19" i="10" s="1"/>
  <c r="H7" i="10" l="1"/>
  <c r="V14" i="10"/>
  <c r="Y15" i="10"/>
  <c r="O7" i="10"/>
  <c r="K15" i="10"/>
  <c r="H14" i="10"/>
  <c r="U22" i="10"/>
  <c r="Y23" i="10"/>
  <c r="R15" i="10"/>
  <c r="O14" i="10"/>
  <c r="R9" i="10"/>
  <c r="Q9" i="10" s="1"/>
  <c r="U7" i="10"/>
  <c r="U6" i="10" s="1"/>
  <c r="Y8" i="10"/>
  <c r="D20" i="10"/>
  <c r="AD20" i="10"/>
  <c r="AE20" i="10" s="1"/>
  <c r="AB20" i="10"/>
  <c r="AC20" i="10" s="1"/>
  <c r="R8" i="10"/>
  <c r="M7" i="10"/>
  <c r="M6" i="10" s="1"/>
  <c r="K9" i="10"/>
  <c r="J9" i="10" s="1"/>
  <c r="G7" i="10"/>
  <c r="G6" i="10" s="1"/>
  <c r="K8" i="10"/>
  <c r="V7" i="10"/>
  <c r="V6" i="10" s="1"/>
  <c r="AB28" i="10"/>
  <c r="K24" i="10"/>
  <c r="AE25" i="10" l="1"/>
  <c r="AD24" i="10"/>
  <c r="AE24" i="10" s="1"/>
  <c r="D24" i="10"/>
  <c r="AB24" i="10"/>
  <c r="AC24" i="10" s="1"/>
  <c r="Y22" i="10"/>
  <c r="X23" i="10"/>
  <c r="X22" i="10" s="1"/>
  <c r="O6" i="10"/>
  <c r="Y14" i="10"/>
  <c r="X15" i="10"/>
  <c r="X14" i="10" s="1"/>
  <c r="AA20" i="10"/>
  <c r="Z20" i="10"/>
  <c r="K7" i="10"/>
  <c r="J8" i="10"/>
  <c r="J7" i="10" s="1"/>
  <c r="R7" i="10"/>
  <c r="Q8" i="10"/>
  <c r="Q7" i="10" s="1"/>
  <c r="Y7" i="10"/>
  <c r="Y6" i="10" s="1"/>
  <c r="X6" i="10" s="1"/>
  <c r="X8" i="10"/>
  <c r="X7" i="10" s="1"/>
  <c r="R14" i="10"/>
  <c r="Q15" i="10"/>
  <c r="J15" i="10"/>
  <c r="J14" i="10" s="1"/>
  <c r="K14" i="10"/>
  <c r="H6" i="10"/>
  <c r="K6" i="10" l="1"/>
  <c r="AB7" i="10"/>
  <c r="D7" i="10"/>
  <c r="AD7" i="10"/>
  <c r="AE7" i="10" s="1"/>
  <c r="Z24" i="10"/>
  <c r="AA24" i="10"/>
  <c r="R6" i="10"/>
  <c r="Q6" i="10" s="1"/>
  <c r="AB14" i="10"/>
  <c r="AC14" i="10" s="1"/>
  <c r="D14" i="10"/>
  <c r="AD14" i="10"/>
  <c r="AE14" i="10" s="1"/>
  <c r="AB22" i="10"/>
  <c r="AC22" i="10" s="1"/>
  <c r="AD22" i="10"/>
  <c r="AE22" i="10" s="1"/>
  <c r="D22" i="10"/>
  <c r="D6" i="10" l="1"/>
  <c r="Z6" i="10" s="1"/>
  <c r="AA7" i="10"/>
  <c r="Z7" i="10"/>
  <c r="AC7" i="10"/>
  <c r="AB6" i="10"/>
  <c r="AC6" i="10" s="1"/>
  <c r="AA22" i="10"/>
  <c r="Z22" i="10"/>
  <c r="AA14" i="10"/>
  <c r="Z14" i="10"/>
  <c r="AD6" i="10"/>
  <c r="AE6" i="10" s="1"/>
  <c r="J6" i="10"/>
  <c r="AA6" i="10" l="1"/>
</calcChain>
</file>

<file path=xl/sharedStrings.xml><?xml version="1.0" encoding="utf-8"?>
<sst xmlns="http://schemas.openxmlformats.org/spreadsheetml/2006/main" count="89" uniqueCount="55">
  <si>
    <t>Наименование мероприятия</t>
  </si>
  <si>
    <t>Ед. изм.</t>
  </si>
  <si>
    <t>К-во</t>
  </si>
  <si>
    <t>I кв.</t>
  </si>
  <si>
    <t>II кв.</t>
  </si>
  <si>
    <t>III кв.</t>
  </si>
  <si>
    <t>IV кв.</t>
  </si>
  <si>
    <t>контроль</t>
  </si>
  <si>
    <t>ВСЕГО</t>
  </si>
  <si>
    <t>МФУ (А4)</t>
  </si>
  <si>
    <t>шт</t>
  </si>
  <si>
    <t>Принтеры (А4)</t>
  </si>
  <si>
    <t>объ-ект</t>
  </si>
  <si>
    <t>Серверное оборудование</t>
  </si>
  <si>
    <t>Мониторы к ПК</t>
  </si>
  <si>
    <t xml:space="preserve">Серверные ИБП </t>
  </si>
  <si>
    <t>компл.</t>
  </si>
  <si>
    <t>Оборудование (счетчики и коммутационное оборудование)</t>
  </si>
  <si>
    <t>коэф. на 2022 год</t>
  </si>
  <si>
    <t>коэф. на 2023 год</t>
  </si>
  <si>
    <t>ВСЕГО:</t>
  </si>
  <si>
    <t>с ндс</t>
  </si>
  <si>
    <t>коэф. на 2024 год</t>
  </si>
  <si>
    <t>Коэф. изменение цены по отношению к ценам 2021 года</t>
  </si>
  <si>
    <t>Стоимость в 2021 г. (без НДС),
тыс.руб.</t>
  </si>
  <si>
    <t>ГАЗ Соболь 4WD</t>
  </si>
  <si>
    <t>Утепление внешнего контура офисного здания ЦА (г.Ульяновск, пр-т 50-летия ВЛКСМ, 23а)</t>
  </si>
  <si>
    <t>Работы по монтажу, пусконаладке и др. работы связанные с запуском и эксплуатацией системы</t>
  </si>
  <si>
    <t>Сервер резервного копирования</t>
  </si>
  <si>
    <t>LADA Гранта</t>
  </si>
  <si>
    <t>LADA Нива (5 дв)</t>
  </si>
  <si>
    <t>LADA Веста Cross</t>
  </si>
  <si>
    <t xml:space="preserve">Специальное ПО для создания ИСУЭЭ(М) </t>
  </si>
  <si>
    <t>Стоимость в 2022 г. с учетом ИПЦ =103,863 %</t>
  </si>
  <si>
    <t>Стоимость в 2023 г. с учетом ИПЦ =104,036%</t>
  </si>
  <si>
    <t>Стоимость в 2024 г. с учетом ИПЦ =103,989%</t>
  </si>
  <si>
    <t>ГАЗель NEXT борт</t>
  </si>
  <si>
    <t>Расчёт стоимости проектов инвестиционной программы на 2022-2024 гг.</t>
  </si>
  <si>
    <t>без НДС</t>
  </si>
  <si>
    <t>с НДС</t>
  </si>
  <si>
    <t xml:space="preserve"> без НДС</t>
  </si>
  <si>
    <t>Общ. ст-ть с учетом ИПЦ, тыс. руб.</t>
  </si>
  <si>
    <t xml:space="preserve"> c НДС</t>
  </si>
  <si>
    <t>Стоимость в базисном (2021) г., тыс.руб.</t>
  </si>
  <si>
    <t>Приобретение офисного здания (помещений) для размещения центра обслуживания клиентов  участка "Сектор левый" ОП Городское отделение</t>
  </si>
  <si>
    <t>23.06.2021 г.</t>
  </si>
  <si>
    <t>Аморт</t>
  </si>
  <si>
    <t>Прибыль</t>
  </si>
  <si>
    <t>итого за 3 года</t>
  </si>
  <si>
    <t>Источник финансирования, тыс. руб. без НДС</t>
  </si>
  <si>
    <t>L_2.01_VTiOT
Приобретение ВТ и ОТ</t>
  </si>
  <si>
    <t>L_2.02_AVTO
Приобретение автотранспорта</t>
  </si>
  <si>
    <t>L_2.03_COK.POK
Приобретение объектов недвижимости для ЦОК</t>
  </si>
  <si>
    <t>L_2.04_ENERGOSB Энергосбережение</t>
  </si>
  <si>
    <t>L_2.05_ISUEE Интеллектуальная система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</si>
</sst>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00"/>
  </numFmts>
  <fonts count="23" x14ac:knownFonts="1">
    <font>
      <sz val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27"/>
      </patternFill>
    </fill>
    <fill>
      <patternFill patternType="solid">
        <fgColor theme="0" tint="-4.9989318521683403E-2"/>
        <bgColor indexed="64"/>
      </patternFill>
    </fill>
  </fills>
  <borders count="15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auto="1"/>
      </top>
      <bottom style="hair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8"/>
      </right>
      <top style="hair">
        <color auto="1"/>
      </top>
      <bottom style="hair">
        <color auto="1"/>
      </bottom>
      <diagonal/>
    </border>
    <border>
      <left/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indexed="8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8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auto="1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auto="1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thin">
        <color indexed="64"/>
      </bottom>
      <diagonal/>
    </border>
    <border>
      <left style="hair">
        <color indexed="8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7" fillId="0" borderId="0"/>
    <xf numFmtId="0" fontId="1" fillId="0" borderId="0"/>
  </cellStyleXfs>
  <cellXfs count="307">
    <xf numFmtId="0" fontId="0" fillId="0" borderId="0" xfId="0"/>
    <xf numFmtId="0" fontId="3" fillId="0" borderId="0" xfId="0" applyFont="1"/>
    <xf numFmtId="0" fontId="6" fillId="0" borderId="0" xfId="0" applyFont="1" applyBorder="1"/>
    <xf numFmtId="0" fontId="4" fillId="0" borderId="0" xfId="0" applyFont="1" applyBorder="1"/>
    <xf numFmtId="0" fontId="6" fillId="0" borderId="0" xfId="0" applyFont="1"/>
    <xf numFmtId="0" fontId="13" fillId="0" borderId="0" xfId="0" applyFont="1" applyAlignment="1"/>
    <xf numFmtId="0" fontId="6" fillId="0" borderId="0" xfId="0" applyFont="1" applyFill="1"/>
    <xf numFmtId="0" fontId="13" fillId="0" borderId="0" xfId="0" applyFont="1" applyFill="1" applyAlignment="1" applyProtection="1"/>
    <xf numFmtId="0" fontId="8" fillId="0" borderId="0" xfId="0" applyFont="1"/>
    <xf numFmtId="0" fontId="15" fillId="0" borderId="0" xfId="0" applyFont="1"/>
    <xf numFmtId="1" fontId="6" fillId="0" borderId="0" xfId="0" applyNumberFormat="1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9" xfId="1" applyNumberFormat="1" applyFont="1" applyFill="1" applyBorder="1" applyAlignment="1" applyProtection="1">
      <alignment horizontal="right" vertical="top" wrapText="1"/>
      <protection locked="0"/>
    </xf>
    <xf numFmtId="165" fontId="4" fillId="0" borderId="0" xfId="0" applyNumberFormat="1" applyFont="1" applyBorder="1" applyAlignment="1">
      <alignment horizontal="right" vertical="top"/>
    </xf>
    <xf numFmtId="165" fontId="6" fillId="0" borderId="1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4" xfId="1" applyNumberFormat="1" applyFont="1" applyFill="1" applyBorder="1" applyAlignment="1" applyProtection="1">
      <alignment horizontal="right" vertical="top" wrapText="1"/>
      <protection locked="0"/>
    </xf>
    <xf numFmtId="165" fontId="6" fillId="0" borderId="0" xfId="0" applyNumberFormat="1" applyFont="1" applyFill="1" applyAlignment="1">
      <alignment horizontal="right"/>
    </xf>
    <xf numFmtId="165" fontId="6" fillId="0" borderId="9" xfId="0" applyNumberFormat="1" applyFont="1" applyFill="1" applyBorder="1" applyAlignment="1" applyProtection="1">
      <alignment horizontal="right" vertical="top" wrapText="1"/>
      <protection locked="0"/>
    </xf>
    <xf numFmtId="165" fontId="3" fillId="0" borderId="0" xfId="0" applyNumberFormat="1" applyFont="1" applyAlignment="1">
      <alignment horizontal="center"/>
    </xf>
    <xf numFmtId="165" fontId="4" fillId="0" borderId="0" xfId="0" applyNumberFormat="1" applyFont="1" applyBorder="1" applyAlignment="1">
      <alignment horizontal="center" vertical="top"/>
    </xf>
    <xf numFmtId="165" fontId="6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6" fillId="0" borderId="13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7" xfId="1" applyNumberFormat="1" applyFont="1" applyFill="1" applyBorder="1" applyAlignment="1" applyProtection="1">
      <alignment horizontal="right" vertical="top" wrapText="1"/>
      <protection locked="0"/>
    </xf>
    <xf numFmtId="0" fontId="6" fillId="0" borderId="14" xfId="1" applyFont="1" applyFill="1" applyBorder="1" applyAlignment="1" applyProtection="1">
      <alignment horizontal="left" vertical="top" wrapText="1"/>
      <protection locked="0"/>
    </xf>
    <xf numFmtId="0" fontId="6" fillId="0" borderId="17" xfId="1" applyFont="1" applyFill="1" applyBorder="1" applyAlignment="1" applyProtection="1">
      <alignment horizontal="center" vertical="top"/>
      <protection locked="0"/>
    </xf>
    <xf numFmtId="165" fontId="7" fillId="0" borderId="10" xfId="0" applyNumberFormat="1" applyFont="1" applyFill="1" applyBorder="1" applyAlignment="1" applyProtection="1">
      <alignment horizontal="right" vertical="top" wrapText="1"/>
      <protection locked="0"/>
    </xf>
    <xf numFmtId="165" fontId="7" fillId="0" borderId="21" xfId="0" applyNumberFormat="1" applyFont="1" applyFill="1" applyBorder="1" applyAlignment="1" applyProtection="1">
      <alignment horizontal="right" vertical="top" wrapText="1"/>
      <protection locked="0"/>
    </xf>
    <xf numFmtId="164" fontId="6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7" fillId="0" borderId="11" xfId="0" applyNumberFormat="1" applyFont="1" applyFill="1" applyBorder="1" applyAlignment="1" applyProtection="1">
      <alignment horizontal="right" vertical="top" wrapText="1"/>
      <protection locked="0"/>
    </xf>
    <xf numFmtId="165" fontId="7" fillId="0" borderId="2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24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Fill="1" applyBorder="1" applyAlignment="1">
      <alignment horizontal="center" vertical="top" wrapText="1"/>
    </xf>
    <xf numFmtId="3" fontId="6" fillId="0" borderId="19" xfId="0" applyNumberFormat="1" applyFont="1" applyFill="1" applyBorder="1" applyAlignment="1">
      <alignment horizontal="center" vertical="top" wrapText="1"/>
    </xf>
    <xf numFmtId="3" fontId="6" fillId="0" borderId="14" xfId="0" applyNumberFormat="1" applyFont="1" applyFill="1" applyBorder="1" applyAlignment="1" applyProtection="1">
      <alignment horizontal="center" vertical="top" wrapText="1"/>
      <protection locked="0"/>
    </xf>
    <xf numFmtId="3" fontId="13" fillId="3" borderId="25" xfId="0" applyNumberFormat="1" applyFont="1" applyFill="1" applyBorder="1" applyAlignment="1">
      <alignment horizontal="center" wrapText="1"/>
    </xf>
    <xf numFmtId="3" fontId="6" fillId="0" borderId="12" xfId="1" applyNumberFormat="1" applyFont="1" applyFill="1" applyBorder="1" applyAlignment="1" applyProtection="1">
      <alignment horizontal="center" vertical="top"/>
      <protection locked="0"/>
    </xf>
    <xf numFmtId="165" fontId="6" fillId="0" borderId="26" xfId="0" applyNumberFormat="1" applyFont="1" applyFill="1" applyBorder="1" applyAlignment="1">
      <alignment horizontal="right" vertical="top" wrapText="1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165" fontId="6" fillId="0" borderId="22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Fill="1" applyBorder="1" applyAlignment="1" applyProtection="1">
      <alignment horizontal="center" vertical="top"/>
      <protection locked="0"/>
    </xf>
    <xf numFmtId="165" fontId="6" fillId="0" borderId="27" xfId="0" applyNumberFormat="1" applyFont="1" applyFill="1" applyBorder="1" applyAlignment="1" applyProtection="1">
      <alignment horizontal="right" vertical="top" wrapText="1"/>
      <protection locked="0"/>
    </xf>
    <xf numFmtId="3" fontId="6" fillId="0" borderId="28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8" xfId="0" applyNumberFormat="1" applyFont="1" applyFill="1" applyBorder="1" applyAlignment="1" applyProtection="1">
      <alignment horizontal="right" vertical="top" wrapText="1"/>
      <protection locked="0"/>
    </xf>
    <xf numFmtId="3" fontId="6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34" xfId="0" applyNumberFormat="1" applyFont="1" applyFill="1" applyBorder="1" applyAlignment="1" applyProtection="1">
      <alignment horizontal="right" vertical="top" wrapText="1"/>
      <protection locked="0"/>
    </xf>
    <xf numFmtId="3" fontId="6" fillId="0" borderId="37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38" xfId="0" applyNumberFormat="1" applyFont="1" applyFill="1" applyBorder="1" applyAlignment="1" applyProtection="1">
      <alignment horizontal="right" vertical="top" wrapText="1"/>
      <protection locked="0"/>
    </xf>
    <xf numFmtId="3" fontId="6" fillId="0" borderId="39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29" xfId="1" applyNumberFormat="1" applyFont="1" applyFill="1" applyBorder="1" applyAlignment="1" applyProtection="1">
      <alignment horizontal="right" vertical="top" wrapText="1"/>
      <protection locked="0"/>
    </xf>
    <xf numFmtId="3" fontId="6" fillId="0" borderId="35" xfId="0" applyNumberFormat="1" applyFont="1" applyFill="1" applyBorder="1" applyAlignment="1" applyProtection="1">
      <alignment horizontal="center" vertical="top" wrapText="1"/>
      <protection locked="0"/>
    </xf>
    <xf numFmtId="165" fontId="6" fillId="2" borderId="31" xfId="0" applyNumberFormat="1" applyFont="1" applyFill="1" applyBorder="1" applyAlignment="1">
      <alignment horizontal="center" vertical="center" wrapText="1"/>
    </xf>
    <xf numFmtId="165" fontId="6" fillId="2" borderId="45" xfId="0" applyNumberFormat="1" applyFont="1" applyFill="1" applyBorder="1" applyAlignment="1">
      <alignment horizontal="center" vertical="center" wrapText="1"/>
    </xf>
    <xf numFmtId="165" fontId="6" fillId="2" borderId="46" xfId="0" applyNumberFormat="1" applyFont="1" applyFill="1" applyBorder="1" applyAlignment="1">
      <alignment horizontal="center" vertical="center" wrapText="1"/>
    </xf>
    <xf numFmtId="165" fontId="7" fillId="0" borderId="44" xfId="0" applyNumberFormat="1" applyFont="1" applyFill="1" applyBorder="1" applyAlignment="1">
      <alignment horizontal="center" vertical="center" wrapText="1"/>
    </xf>
    <xf numFmtId="165" fontId="6" fillId="0" borderId="33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47" xfId="0" applyNumberFormat="1" applyFont="1" applyFill="1" applyBorder="1" applyAlignment="1" applyProtection="1">
      <alignment horizontal="right" vertical="top" wrapText="1"/>
      <protection locked="0"/>
    </xf>
    <xf numFmtId="0" fontId="6" fillId="0" borderId="42" xfId="1" applyFont="1" applyFill="1" applyBorder="1" applyAlignment="1" applyProtection="1">
      <alignment horizontal="center" vertical="top"/>
      <protection locked="0"/>
    </xf>
    <xf numFmtId="165" fontId="6" fillId="0" borderId="50" xfId="1" applyNumberFormat="1" applyFont="1" applyFill="1" applyBorder="1" applyAlignment="1" applyProtection="1">
      <alignment horizontal="right" vertical="top" wrapText="1"/>
      <protection locked="0"/>
    </xf>
    <xf numFmtId="165" fontId="6" fillId="0" borderId="49" xfId="1" applyNumberFormat="1" applyFont="1" applyFill="1" applyBorder="1" applyAlignment="1" applyProtection="1">
      <alignment horizontal="right" vertical="top" wrapText="1"/>
      <protection locked="0"/>
    </xf>
    <xf numFmtId="165" fontId="6" fillId="0" borderId="43" xfId="1" applyNumberFormat="1" applyFont="1" applyFill="1" applyBorder="1" applyAlignment="1" applyProtection="1">
      <alignment horizontal="right" vertical="top" wrapText="1"/>
      <protection locked="0"/>
    </xf>
    <xf numFmtId="165" fontId="7" fillId="0" borderId="5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53" xfId="0" applyNumberFormat="1" applyFont="1" applyFill="1" applyBorder="1" applyAlignment="1">
      <alignment horizontal="right" vertical="top" wrapText="1"/>
    </xf>
    <xf numFmtId="3" fontId="6" fillId="0" borderId="54" xfId="1" applyNumberFormat="1" applyFont="1" applyFill="1" applyBorder="1" applyAlignment="1" applyProtection="1">
      <alignment horizontal="center" vertical="top"/>
      <protection locked="0"/>
    </xf>
    <xf numFmtId="165" fontId="6" fillId="0" borderId="55" xfId="0" applyNumberFormat="1" applyFont="1" applyFill="1" applyBorder="1" applyAlignment="1">
      <alignment horizontal="right" vertical="top" wrapText="1"/>
    </xf>
    <xf numFmtId="3" fontId="6" fillId="0" borderId="56" xfId="1" applyNumberFormat="1" applyFont="1" applyFill="1" applyBorder="1" applyAlignment="1" applyProtection="1">
      <alignment horizontal="center" vertical="top"/>
      <protection locked="0"/>
    </xf>
    <xf numFmtId="3" fontId="13" fillId="3" borderId="59" xfId="0" applyNumberFormat="1" applyFont="1" applyFill="1" applyBorder="1" applyAlignment="1" applyProtection="1">
      <alignment horizontal="center" wrapText="1"/>
    </xf>
    <xf numFmtId="165" fontId="11" fillId="3" borderId="57" xfId="0" applyNumberFormat="1" applyFont="1" applyFill="1" applyBorder="1" applyAlignment="1" applyProtection="1">
      <alignment horizontal="right" wrapText="1"/>
    </xf>
    <xf numFmtId="165" fontId="12" fillId="3" borderId="57" xfId="0" applyNumberFormat="1" applyFont="1" applyFill="1" applyBorder="1" applyAlignment="1" applyProtection="1">
      <alignment horizontal="right" wrapText="1"/>
    </xf>
    <xf numFmtId="165" fontId="13" fillId="3" borderId="57" xfId="0" applyNumberFormat="1" applyFont="1" applyFill="1" applyBorder="1" applyAlignment="1">
      <alignment horizontal="right" wrapText="1"/>
    </xf>
    <xf numFmtId="3" fontId="13" fillId="3" borderId="60" xfId="0" applyNumberFormat="1" applyFont="1" applyFill="1" applyBorder="1" applyAlignment="1">
      <alignment horizontal="center" wrapText="1"/>
    </xf>
    <xf numFmtId="165" fontId="13" fillId="3" borderId="58" xfId="0" applyNumberFormat="1" applyFont="1" applyFill="1" applyBorder="1" applyAlignment="1">
      <alignment horizontal="right" wrapText="1"/>
    </xf>
    <xf numFmtId="3" fontId="13" fillId="3" borderId="61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 applyProtection="1">
      <alignment horizontal="center" vertical="top"/>
      <protection locked="0"/>
    </xf>
    <xf numFmtId="165" fontId="13" fillId="3" borderId="57" xfId="0" applyNumberFormat="1" applyFont="1" applyFill="1" applyBorder="1" applyAlignment="1" applyProtection="1">
      <alignment horizontal="right" wrapText="1"/>
    </xf>
    <xf numFmtId="165" fontId="13" fillId="3" borderId="63" xfId="0" applyNumberFormat="1" applyFont="1" applyFill="1" applyBorder="1" applyAlignment="1">
      <alignment horizontal="right"/>
    </xf>
    <xf numFmtId="3" fontId="13" fillId="3" borderId="64" xfId="0" applyNumberFormat="1" applyFont="1" applyFill="1" applyBorder="1" applyAlignment="1">
      <alignment horizontal="center" wrapText="1"/>
    </xf>
    <xf numFmtId="0" fontId="6" fillId="0" borderId="4" xfId="1" applyFont="1" applyFill="1" applyBorder="1" applyAlignment="1" applyProtection="1">
      <alignment horizontal="left" vertical="top" wrapText="1"/>
      <protection locked="0"/>
    </xf>
    <xf numFmtId="0" fontId="6" fillId="0" borderId="5" xfId="1" applyFont="1" applyFill="1" applyBorder="1" applyAlignment="1" applyProtection="1">
      <alignment horizontal="center" vertical="top"/>
      <protection locked="0"/>
    </xf>
    <xf numFmtId="165" fontId="3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 vertical="top"/>
    </xf>
    <xf numFmtId="165" fontId="13" fillId="3" borderId="62" xfId="0" applyNumberFormat="1" applyFont="1" applyFill="1" applyBorder="1" applyAlignment="1">
      <alignment horizontal="right" wrapText="1"/>
    </xf>
    <xf numFmtId="165" fontId="6" fillId="0" borderId="67" xfId="0" applyNumberFormat="1" applyFont="1" applyFill="1" applyBorder="1" applyAlignment="1">
      <alignment horizontal="right" vertical="top" wrapText="1"/>
    </xf>
    <xf numFmtId="165" fontId="6" fillId="0" borderId="68" xfId="0" applyNumberFormat="1" applyFont="1" applyFill="1" applyBorder="1" applyAlignment="1" applyProtection="1">
      <alignment horizontal="right" vertical="top" wrapText="1"/>
      <protection locked="0"/>
    </xf>
    <xf numFmtId="4" fontId="20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65" fontId="8" fillId="0" borderId="0" xfId="0" applyNumberFormat="1" applyFont="1" applyBorder="1"/>
    <xf numFmtId="3" fontId="6" fillId="0" borderId="30" xfId="1" applyNumberFormat="1" applyFont="1" applyFill="1" applyBorder="1" applyAlignment="1" applyProtection="1">
      <alignment horizontal="center" vertical="top" wrapText="1"/>
      <protection locked="0"/>
    </xf>
    <xf numFmtId="3" fontId="6" fillId="0" borderId="51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6" xfId="0" applyNumberFormat="1" applyFont="1" applyFill="1" applyBorder="1" applyAlignment="1" applyProtection="1">
      <alignment horizontal="right" vertical="top" wrapText="1"/>
      <protection locked="0"/>
    </xf>
    <xf numFmtId="3" fontId="6" fillId="0" borderId="19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6" xfId="1" applyNumberFormat="1" applyFont="1" applyFill="1" applyBorder="1" applyAlignment="1" applyProtection="1">
      <alignment horizontal="right" vertical="top" wrapText="1"/>
      <protection locked="0"/>
    </xf>
    <xf numFmtId="0" fontId="6" fillId="0" borderId="71" xfId="0" applyFont="1" applyFill="1" applyBorder="1" applyAlignment="1" applyProtection="1">
      <alignment horizontal="left" vertical="top" wrapText="1"/>
      <protection locked="0"/>
    </xf>
    <xf numFmtId="165" fontId="6" fillId="0" borderId="47" xfId="0" applyNumberFormat="1" applyFont="1" applyFill="1" applyBorder="1" applyAlignment="1" applyProtection="1">
      <alignment horizontal="right" vertical="top" wrapText="1"/>
      <protection locked="0"/>
    </xf>
    <xf numFmtId="0" fontId="6" fillId="0" borderId="72" xfId="0" applyFont="1" applyFill="1" applyBorder="1" applyAlignment="1" applyProtection="1">
      <alignment horizontal="left" vertical="top" wrapText="1"/>
      <protection locked="0"/>
    </xf>
    <xf numFmtId="3" fontId="6" fillId="0" borderId="73" xfId="0" applyNumberFormat="1" applyFont="1" applyFill="1" applyBorder="1" applyAlignment="1" applyProtection="1">
      <alignment horizontal="center" vertical="top" wrapText="1"/>
      <protection locked="0"/>
    </xf>
    <xf numFmtId="3" fontId="6" fillId="0" borderId="75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74" xfId="0" applyNumberFormat="1" applyFont="1" applyFill="1" applyBorder="1" applyAlignment="1" applyProtection="1">
      <alignment horizontal="right" vertical="top" wrapText="1"/>
      <protection locked="0"/>
    </xf>
    <xf numFmtId="165" fontId="7" fillId="0" borderId="74" xfId="0" applyNumberFormat="1" applyFont="1" applyFill="1" applyBorder="1" applyAlignment="1" applyProtection="1">
      <alignment horizontal="right" vertical="top" wrapText="1"/>
      <protection locked="0"/>
    </xf>
    <xf numFmtId="3" fontId="6" fillId="0" borderId="7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72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3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7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4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33" xfId="0" applyNumberFormat="1" applyFont="1" applyFill="1" applyBorder="1" applyAlignment="1" applyProtection="1">
      <alignment horizontal="right" vertical="top" wrapText="1"/>
      <protection locked="0"/>
    </xf>
    <xf numFmtId="165" fontId="6" fillId="0" borderId="78" xfId="0" applyNumberFormat="1" applyFont="1" applyFill="1" applyBorder="1" applyAlignment="1">
      <alignment horizontal="right" vertical="top" wrapText="1"/>
    </xf>
    <xf numFmtId="165" fontId="6" fillId="0" borderId="37" xfId="0" applyNumberFormat="1" applyFont="1" applyFill="1" applyBorder="1" applyAlignment="1">
      <alignment horizontal="right" vertical="top" wrapText="1"/>
    </xf>
    <xf numFmtId="165" fontId="6" fillId="0" borderId="11" xfId="0" applyNumberFormat="1" applyFont="1" applyFill="1" applyBorder="1" applyAlignment="1" applyProtection="1">
      <alignment horizontal="right" vertical="top" wrapText="1"/>
      <protection locked="0"/>
    </xf>
    <xf numFmtId="0" fontId="6" fillId="0" borderId="49" xfId="1" applyFont="1" applyFill="1" applyBorder="1" applyAlignment="1" applyProtection="1">
      <alignment horizontal="left" vertical="top" wrapText="1"/>
      <protection locked="0"/>
    </xf>
    <xf numFmtId="3" fontId="13" fillId="3" borderId="0" xfId="0" applyNumberFormat="1" applyFont="1" applyFill="1" applyBorder="1" applyAlignment="1" applyProtection="1">
      <alignment horizontal="center" wrapText="1"/>
    </xf>
    <xf numFmtId="165" fontId="11" fillId="3" borderId="0" xfId="0" applyNumberFormat="1" applyFont="1" applyFill="1" applyBorder="1" applyAlignment="1" applyProtection="1">
      <alignment horizontal="right" wrapText="1"/>
    </xf>
    <xf numFmtId="165" fontId="12" fillId="3" borderId="0" xfId="0" applyNumberFormat="1" applyFont="1" applyFill="1" applyBorder="1" applyAlignment="1" applyProtection="1">
      <alignment horizontal="right" wrapText="1"/>
    </xf>
    <xf numFmtId="165" fontId="13" fillId="3" borderId="0" xfId="0" applyNumberFormat="1" applyFont="1" applyFill="1" applyBorder="1" applyAlignment="1">
      <alignment horizontal="right" wrapText="1"/>
    </xf>
    <xf numFmtId="3" fontId="13" fillId="3" borderId="1" xfId="0" applyNumberFormat="1" applyFont="1" applyFill="1" applyBorder="1" applyAlignment="1">
      <alignment horizontal="center" wrapText="1"/>
    </xf>
    <xf numFmtId="165" fontId="13" fillId="3" borderId="3" xfId="0" applyNumberFormat="1" applyFont="1" applyFill="1" applyBorder="1" applyAlignment="1">
      <alignment horizontal="right" wrapText="1"/>
    </xf>
    <xf numFmtId="3" fontId="13" fillId="3" borderId="0" xfId="0" applyNumberFormat="1" applyFont="1" applyFill="1" applyBorder="1" applyAlignment="1">
      <alignment horizontal="center" wrapText="1"/>
    </xf>
    <xf numFmtId="0" fontId="6" fillId="0" borderId="49" xfId="0" applyFont="1" applyFill="1" applyBorder="1" applyAlignment="1" applyProtection="1">
      <alignment horizontal="left" vertical="top" wrapText="1"/>
      <protection locked="0"/>
    </xf>
    <xf numFmtId="0" fontId="6" fillId="0" borderId="42" xfId="0" applyFont="1" applyFill="1" applyBorder="1" applyAlignment="1" applyProtection="1">
      <alignment horizontal="center" vertical="top"/>
      <protection locked="0"/>
    </xf>
    <xf numFmtId="165" fontId="6" fillId="0" borderId="50" xfId="0" applyNumberFormat="1" applyFont="1" applyFill="1" applyBorder="1" applyAlignment="1" applyProtection="1">
      <alignment horizontal="right" vertical="top" wrapText="1"/>
      <protection locked="0"/>
    </xf>
    <xf numFmtId="3" fontId="6" fillId="0" borderId="54" xfId="0" applyNumberFormat="1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right" vertical="top"/>
    </xf>
    <xf numFmtId="165" fontId="6" fillId="2" borderId="88" xfId="0" applyNumberFormat="1" applyFont="1" applyFill="1" applyBorder="1" applyAlignment="1">
      <alignment horizontal="center" vertical="center" wrapText="1"/>
    </xf>
    <xf numFmtId="165" fontId="6" fillId="2" borderId="89" xfId="0" applyNumberFormat="1" applyFont="1" applyFill="1" applyBorder="1" applyAlignment="1">
      <alignment horizontal="center" vertical="center" wrapText="1"/>
    </xf>
    <xf numFmtId="165" fontId="6" fillId="2" borderId="90" xfId="0" applyNumberFormat="1" applyFont="1" applyFill="1" applyBorder="1" applyAlignment="1">
      <alignment horizontal="center" vertical="center" wrapText="1"/>
    </xf>
    <xf numFmtId="165" fontId="11" fillId="3" borderId="62" xfId="0" applyNumberFormat="1" applyFont="1" applyFill="1" applyBorder="1" applyAlignment="1">
      <alignment horizontal="right" wrapText="1"/>
    </xf>
    <xf numFmtId="165" fontId="12" fillId="3" borderId="62" xfId="0" applyNumberFormat="1" applyFont="1" applyFill="1" applyBorder="1" applyAlignment="1">
      <alignment horizontal="right" wrapText="1"/>
    </xf>
    <xf numFmtId="165" fontId="13" fillId="3" borderId="48" xfId="0" applyNumberFormat="1" applyFont="1" applyFill="1" applyBorder="1" applyAlignment="1">
      <alignment horizontal="right" wrapText="1"/>
    </xf>
    <xf numFmtId="165" fontId="13" fillId="3" borderId="94" xfId="0" applyNumberFormat="1" applyFont="1" applyFill="1" applyBorder="1" applyAlignment="1">
      <alignment horizontal="right" wrapText="1"/>
    </xf>
    <xf numFmtId="0" fontId="6" fillId="0" borderId="40" xfId="0" applyFont="1" applyFill="1" applyBorder="1" applyAlignment="1">
      <alignment horizontal="left" vertical="top" wrapText="1"/>
    </xf>
    <xf numFmtId="165" fontId="6" fillId="0" borderId="12" xfId="0" applyNumberFormat="1" applyFont="1" applyFill="1" applyBorder="1" applyAlignment="1">
      <alignment horizontal="right" vertical="top" wrapText="1"/>
    </xf>
    <xf numFmtId="0" fontId="6" fillId="0" borderId="68" xfId="0" applyFont="1" applyFill="1" applyBorder="1" applyAlignment="1">
      <alignment horizontal="left" vertical="top" wrapText="1"/>
    </xf>
    <xf numFmtId="165" fontId="6" fillId="0" borderId="15" xfId="0" applyNumberFormat="1" applyFont="1" applyFill="1" applyBorder="1" applyAlignment="1">
      <alignment horizontal="right" vertical="top" wrapText="1"/>
    </xf>
    <xf numFmtId="3" fontId="6" fillId="0" borderId="56" xfId="0" applyNumberFormat="1" applyFont="1" applyFill="1" applyBorder="1" applyAlignment="1">
      <alignment horizontal="center" vertical="top" wrapText="1"/>
    </xf>
    <xf numFmtId="0" fontId="6" fillId="0" borderId="41" xfId="0" applyFont="1" applyFill="1" applyBorder="1" applyAlignment="1">
      <alignment horizontal="left" vertical="top" wrapText="1"/>
    </xf>
    <xf numFmtId="165" fontId="6" fillId="0" borderId="54" xfId="0" applyNumberFormat="1" applyFont="1" applyFill="1" applyBorder="1" applyAlignment="1">
      <alignment horizontal="right" vertical="top" wrapText="1"/>
    </xf>
    <xf numFmtId="165" fontId="13" fillId="3" borderId="95" xfId="0" applyNumberFormat="1" applyFont="1" applyFill="1" applyBorder="1" applyAlignment="1">
      <alignment horizontal="right" wrapText="1"/>
    </xf>
    <xf numFmtId="3" fontId="6" fillId="0" borderId="96" xfId="0" applyNumberFormat="1" applyFont="1" applyFill="1" applyBorder="1" applyAlignment="1" applyProtection="1">
      <alignment horizontal="center" vertical="top"/>
      <protection locked="0"/>
    </xf>
    <xf numFmtId="165" fontId="7" fillId="0" borderId="97" xfId="0" applyNumberFormat="1" applyFont="1" applyFill="1" applyBorder="1" applyAlignment="1" applyProtection="1">
      <alignment horizontal="right" vertical="top" wrapText="1"/>
      <protection locked="0"/>
    </xf>
    <xf numFmtId="3" fontId="6" fillId="0" borderId="98" xfId="1" applyNumberFormat="1" applyFont="1" applyFill="1" applyBorder="1" applyAlignment="1" applyProtection="1">
      <alignment horizontal="center" vertical="top" wrapText="1"/>
      <protection locked="0"/>
    </xf>
    <xf numFmtId="3" fontId="6" fillId="0" borderId="99" xfId="1" applyNumberFormat="1" applyFont="1" applyFill="1" applyBorder="1" applyAlignment="1" applyProtection="1">
      <alignment horizontal="center" vertical="top" wrapText="1"/>
      <protection locked="0"/>
    </xf>
    <xf numFmtId="0" fontId="6" fillId="0" borderId="14" xfId="0" applyFont="1" applyFill="1" applyBorder="1" applyAlignment="1" applyProtection="1">
      <alignment horizontal="left" vertical="top" wrapText="1"/>
      <protection locked="0"/>
    </xf>
    <xf numFmtId="0" fontId="6" fillId="0" borderId="17" xfId="0" applyFont="1" applyFill="1" applyBorder="1" applyAlignment="1" applyProtection="1">
      <alignment horizontal="center" vertical="top"/>
      <protection locked="0"/>
    </xf>
    <xf numFmtId="3" fontId="6" fillId="0" borderId="56" xfId="1" applyNumberFormat="1" applyFont="1" applyFill="1" applyBorder="1" applyAlignment="1" applyProtection="1">
      <alignment horizontal="center" vertical="top" wrapText="1"/>
      <protection locked="0"/>
    </xf>
    <xf numFmtId="3" fontId="7" fillId="0" borderId="56" xfId="1" applyNumberFormat="1" applyFont="1" applyFill="1" applyBorder="1" applyAlignment="1" applyProtection="1">
      <alignment horizontal="center" vertical="top" wrapText="1"/>
      <protection locked="0"/>
    </xf>
    <xf numFmtId="3" fontId="13" fillId="3" borderId="101" xfId="0" applyNumberFormat="1" applyFont="1" applyFill="1" applyBorder="1" applyAlignment="1" applyProtection="1">
      <alignment horizontal="center" wrapText="1"/>
    </xf>
    <xf numFmtId="165" fontId="12" fillId="3" borderId="101" xfId="0" applyNumberFormat="1" applyFont="1" applyFill="1" applyBorder="1" applyAlignment="1" applyProtection="1">
      <alignment horizontal="right" wrapText="1"/>
    </xf>
    <xf numFmtId="165" fontId="11" fillId="3" borderId="101" xfId="0" applyNumberFormat="1" applyFont="1" applyFill="1" applyBorder="1" applyAlignment="1" applyProtection="1">
      <alignment horizontal="right" wrapText="1"/>
    </xf>
    <xf numFmtId="165" fontId="13" fillId="3" borderId="101" xfId="0" applyNumberFormat="1" applyFont="1" applyFill="1" applyBorder="1" applyAlignment="1">
      <alignment horizontal="right" wrapText="1"/>
    </xf>
    <xf numFmtId="165" fontId="13" fillId="3" borderId="102" xfId="0" applyNumberFormat="1" applyFont="1" applyFill="1" applyBorder="1" applyAlignment="1">
      <alignment horizontal="right" wrapText="1"/>
    </xf>
    <xf numFmtId="165" fontId="13" fillId="3" borderId="103" xfId="0" applyNumberFormat="1" applyFont="1" applyFill="1" applyBorder="1" applyAlignment="1">
      <alignment horizontal="right" wrapText="1"/>
    </xf>
    <xf numFmtId="0" fontId="6" fillId="0" borderId="104" xfId="0" applyFont="1" applyFill="1" applyBorder="1" applyAlignment="1">
      <alignment horizontal="left" vertical="top" wrapText="1"/>
    </xf>
    <xf numFmtId="3" fontId="6" fillId="0" borderId="17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30" xfId="0" applyNumberFormat="1" applyFont="1" applyFill="1" applyBorder="1" applyAlignment="1" applyProtection="1">
      <alignment horizontal="right" vertical="top" wrapText="1"/>
      <protection locked="0"/>
    </xf>
    <xf numFmtId="165" fontId="11" fillId="3" borderId="101" xfId="0" applyNumberFormat="1" applyFont="1" applyFill="1" applyBorder="1" applyAlignment="1">
      <alignment horizontal="right" wrapText="1"/>
    </xf>
    <xf numFmtId="165" fontId="14" fillId="3" borderId="101" xfId="0" applyNumberFormat="1" applyFont="1" applyFill="1" applyBorder="1" applyAlignment="1">
      <alignment horizontal="right" wrapText="1"/>
    </xf>
    <xf numFmtId="0" fontId="6" fillId="0" borderId="32" xfId="0" applyFont="1" applyFill="1" applyBorder="1" applyAlignment="1">
      <alignment horizontal="left" vertical="top" wrapText="1"/>
    </xf>
    <xf numFmtId="0" fontId="6" fillId="0" borderId="105" xfId="0" applyFont="1" applyFill="1" applyBorder="1" applyAlignment="1" applyProtection="1">
      <alignment horizontal="left" vertical="top" wrapText="1"/>
      <protection locked="0"/>
    </xf>
    <xf numFmtId="3" fontId="6" fillId="0" borderId="10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07" xfId="0" applyNumberFormat="1" applyFont="1" applyFill="1" applyBorder="1" applyAlignment="1" applyProtection="1">
      <alignment horizontal="right" vertical="top" wrapText="1"/>
      <protection locked="0"/>
    </xf>
    <xf numFmtId="3" fontId="6" fillId="0" borderId="108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0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0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92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10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11" xfId="0" applyNumberFormat="1" applyFont="1" applyFill="1" applyBorder="1" applyAlignment="1" applyProtection="1">
      <alignment horizontal="right" vertical="top" wrapText="1"/>
      <protection locked="0"/>
    </xf>
    <xf numFmtId="3" fontId="6" fillId="0" borderId="9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12" xfId="0" applyNumberFormat="1" applyFont="1" applyFill="1" applyBorder="1" applyAlignment="1" applyProtection="1">
      <alignment horizontal="right" vertical="top" wrapText="1"/>
      <protection locked="0"/>
    </xf>
    <xf numFmtId="3" fontId="6" fillId="0" borderId="113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14" xfId="0" applyNumberFormat="1" applyFont="1" applyFill="1" applyBorder="1" applyAlignment="1" applyProtection="1">
      <alignment horizontal="right" vertical="top" wrapText="1"/>
      <protection locked="0"/>
    </xf>
    <xf numFmtId="165" fontId="13" fillId="3" borderId="113" xfId="0" applyNumberFormat="1" applyFont="1" applyFill="1" applyBorder="1" applyAlignment="1">
      <alignment horizontal="right"/>
    </xf>
    <xf numFmtId="165" fontId="13" fillId="3" borderId="113" xfId="0" applyNumberFormat="1" applyFont="1" applyFill="1" applyBorder="1" applyAlignment="1">
      <alignment horizontal="right" wrapText="1"/>
    </xf>
    <xf numFmtId="0" fontId="6" fillId="0" borderId="115" xfId="0" applyFont="1" applyFill="1" applyBorder="1" applyAlignment="1">
      <alignment horizontal="left" vertical="top" wrapText="1"/>
    </xf>
    <xf numFmtId="0" fontId="6" fillId="0" borderId="116" xfId="0" applyFont="1" applyFill="1" applyBorder="1" applyAlignment="1" applyProtection="1">
      <alignment horizontal="left" vertical="top" wrapText="1"/>
      <protection locked="0"/>
    </xf>
    <xf numFmtId="3" fontId="6" fillId="0" borderId="117" xfId="0" applyNumberFormat="1" applyFont="1" applyFill="1" applyBorder="1" applyAlignment="1" applyProtection="1">
      <alignment horizontal="center" vertical="top" wrapText="1"/>
      <protection locked="0"/>
    </xf>
    <xf numFmtId="4" fontId="6" fillId="0" borderId="118" xfId="0" applyNumberFormat="1" applyFont="1" applyFill="1" applyBorder="1" applyAlignment="1" applyProtection="1">
      <alignment horizontal="right" vertical="top" wrapText="1"/>
      <protection locked="0"/>
    </xf>
    <xf numFmtId="3" fontId="6" fillId="0" borderId="119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18" xfId="0" applyNumberFormat="1" applyFont="1" applyFill="1" applyBorder="1" applyAlignment="1" applyProtection="1">
      <alignment horizontal="right" vertical="top" wrapText="1"/>
      <protection locked="0"/>
    </xf>
    <xf numFmtId="165" fontId="7" fillId="0" borderId="118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20" xfId="0" applyNumberFormat="1" applyFont="1" applyFill="1" applyBorder="1" applyAlignment="1" applyProtection="1">
      <alignment horizontal="right" vertical="top" wrapText="1"/>
      <protection locked="0"/>
    </xf>
    <xf numFmtId="3" fontId="6" fillId="0" borderId="121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117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22" xfId="0" applyNumberFormat="1" applyFont="1" applyFill="1" applyBorder="1" applyAlignment="1">
      <alignment horizontal="right" vertical="top" wrapText="1"/>
    </xf>
    <xf numFmtId="3" fontId="6" fillId="0" borderId="123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21" xfId="0" applyNumberFormat="1" applyFont="1" applyFill="1" applyBorder="1" applyAlignment="1">
      <alignment horizontal="righ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124" xfId="0" applyFont="1" applyFill="1" applyBorder="1" applyAlignment="1">
      <alignment horizontal="left" vertical="top" wrapText="1"/>
    </xf>
    <xf numFmtId="165" fontId="6" fillId="0" borderId="125" xfId="0" applyNumberFormat="1" applyFont="1" applyFill="1" applyBorder="1" applyAlignment="1">
      <alignment horizontal="right" vertical="top" wrapText="1"/>
    </xf>
    <xf numFmtId="3" fontId="6" fillId="0" borderId="126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27" xfId="0" applyNumberFormat="1" applyFont="1" applyFill="1" applyBorder="1" applyAlignment="1">
      <alignment horizontal="right" vertical="top" wrapText="1"/>
    </xf>
    <xf numFmtId="165" fontId="6" fillId="0" borderId="126" xfId="0" applyNumberFormat="1" applyFont="1" applyFill="1" applyBorder="1" applyAlignment="1">
      <alignment horizontal="right" vertical="top" wrapText="1"/>
    </xf>
    <xf numFmtId="0" fontId="6" fillId="0" borderId="128" xfId="0" applyFont="1" applyFill="1" applyBorder="1" applyAlignment="1">
      <alignment horizontal="left" vertical="top" wrapText="1"/>
    </xf>
    <xf numFmtId="0" fontId="6" fillId="0" borderId="129" xfId="0" applyFont="1" applyFill="1" applyBorder="1" applyAlignment="1" applyProtection="1">
      <alignment horizontal="left" vertical="top" wrapText="1"/>
      <protection locked="0"/>
    </xf>
    <xf numFmtId="3" fontId="6" fillId="0" borderId="130" xfId="0" applyNumberFormat="1" applyFont="1" applyFill="1" applyBorder="1" applyAlignment="1" applyProtection="1">
      <alignment horizontal="center" vertical="top" wrapText="1"/>
      <protection locked="0"/>
    </xf>
    <xf numFmtId="3" fontId="6" fillId="0" borderId="132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29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30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13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33" xfId="0" applyNumberFormat="1" applyFont="1" applyFill="1" applyBorder="1" applyAlignment="1">
      <alignment horizontal="right" vertical="top" wrapText="1"/>
    </xf>
    <xf numFmtId="3" fontId="6" fillId="0" borderId="134" xfId="0" applyNumberFormat="1" applyFont="1" applyFill="1" applyBorder="1" applyAlignment="1" applyProtection="1">
      <alignment horizontal="center" vertical="top" wrapText="1"/>
      <protection locked="0"/>
    </xf>
    <xf numFmtId="165" fontId="7" fillId="0" borderId="135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36" xfId="0" applyNumberFormat="1" applyFont="1" applyFill="1" applyBorder="1" applyAlignment="1">
      <alignment horizontal="right" vertical="top" wrapText="1"/>
    </xf>
    <xf numFmtId="3" fontId="6" fillId="0" borderId="137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31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138" xfId="0" applyNumberFormat="1" applyFont="1" applyFill="1" applyBorder="1" applyAlignment="1">
      <alignment horizontal="right" vertical="top" wrapText="1"/>
    </xf>
    <xf numFmtId="3" fontId="13" fillId="3" borderId="3" xfId="0" applyNumberFormat="1" applyFont="1" applyFill="1" applyBorder="1" applyAlignment="1">
      <alignment horizontal="center" vertical="center" wrapText="1"/>
    </xf>
    <xf numFmtId="3" fontId="9" fillId="3" borderId="14" xfId="1" applyNumberFormat="1" applyFont="1" applyFill="1" applyBorder="1" applyAlignment="1" applyProtection="1">
      <alignment horizontal="right" wrapText="1"/>
      <protection locked="0"/>
    </xf>
    <xf numFmtId="3" fontId="9" fillId="3" borderId="17" xfId="1" applyNumberFormat="1" applyFont="1" applyFill="1" applyBorder="1" applyAlignment="1" applyProtection="1">
      <alignment horizontal="right"/>
      <protection locked="0"/>
    </xf>
    <xf numFmtId="3" fontId="9" fillId="3" borderId="9" xfId="1" applyNumberFormat="1" applyFont="1" applyFill="1" applyBorder="1" applyAlignment="1" applyProtection="1">
      <alignment horizontal="right" wrapText="1"/>
      <protection locked="0"/>
    </xf>
    <xf numFmtId="3" fontId="10" fillId="3" borderId="92" xfId="0" applyNumberFormat="1" applyFont="1" applyFill="1" applyBorder="1" applyAlignment="1">
      <alignment horizontal="right" wrapText="1"/>
    </xf>
    <xf numFmtId="165" fontId="9" fillId="3" borderId="1" xfId="0" applyNumberFormat="1" applyFont="1" applyFill="1" applyBorder="1" applyAlignment="1">
      <alignment horizontal="right" wrapText="1"/>
    </xf>
    <xf numFmtId="3" fontId="13" fillId="3" borderId="16" xfId="0" applyNumberFormat="1" applyFont="1" applyFill="1" applyBorder="1" applyAlignment="1">
      <alignment horizontal="center" wrapText="1"/>
    </xf>
    <xf numFmtId="165" fontId="9" fillId="3" borderId="2" xfId="0" applyNumberFormat="1" applyFont="1" applyFill="1" applyBorder="1" applyAlignment="1">
      <alignment horizontal="right" wrapText="1"/>
    </xf>
    <xf numFmtId="3" fontId="13" fillId="3" borderId="23" xfId="0" applyNumberFormat="1" applyFont="1" applyFill="1" applyBorder="1" applyAlignment="1">
      <alignment horizontal="center" wrapText="1"/>
    </xf>
    <xf numFmtId="165" fontId="9" fillId="3" borderId="93" xfId="0" applyNumberFormat="1" applyFont="1" applyFill="1" applyBorder="1" applyAlignment="1">
      <alignment horizontal="right" wrapText="1"/>
    </xf>
    <xf numFmtId="165" fontId="9" fillId="3" borderId="48" xfId="0" applyNumberFormat="1" applyFont="1" applyFill="1" applyBorder="1" applyAlignment="1">
      <alignment horizontal="right"/>
    </xf>
    <xf numFmtId="165" fontId="6" fillId="0" borderId="131" xfId="0" applyNumberFormat="1" applyFont="1" applyFill="1" applyBorder="1" applyAlignment="1" applyProtection="1">
      <alignment horizontal="right" vertical="top" wrapText="1"/>
      <protection locked="0"/>
    </xf>
    <xf numFmtId="166" fontId="6" fillId="0" borderId="0" xfId="0" applyNumberFormat="1" applyFont="1"/>
    <xf numFmtId="166" fontId="21" fillId="0" borderId="0" xfId="0" applyNumberFormat="1" applyFont="1"/>
    <xf numFmtId="1" fontId="6" fillId="0" borderId="0" xfId="0" applyNumberFormat="1" applyFont="1" applyAlignment="1">
      <alignment horizontal="right"/>
    </xf>
    <xf numFmtId="165" fontId="6" fillId="0" borderId="141" xfId="0" applyNumberFormat="1" applyFont="1" applyFill="1" applyBorder="1" applyAlignment="1">
      <alignment horizontal="center" vertical="center" wrapText="1"/>
    </xf>
    <xf numFmtId="165" fontId="13" fillId="3" borderId="142" xfId="0" applyNumberFormat="1" applyFont="1" applyFill="1" applyBorder="1" applyAlignment="1">
      <alignment horizontal="right"/>
    </xf>
    <xf numFmtId="165" fontId="6" fillId="0" borderId="146" xfId="0" applyNumberFormat="1" applyFont="1" applyFill="1" applyBorder="1" applyAlignment="1">
      <alignment horizontal="center" vertical="center" wrapText="1"/>
    </xf>
    <xf numFmtId="165" fontId="6" fillId="0" borderId="151" xfId="0" applyNumberFormat="1" applyFont="1" applyFill="1" applyBorder="1" applyAlignment="1">
      <alignment horizontal="center" vertical="center" wrapText="1"/>
    </xf>
    <xf numFmtId="165" fontId="6" fillId="0" borderId="151" xfId="0" applyNumberFormat="1" applyFont="1" applyFill="1" applyBorder="1" applyAlignment="1">
      <alignment horizontal="right" vertical="top" wrapText="1"/>
    </xf>
    <xf numFmtId="165" fontId="6" fillId="0" borderId="141" xfId="0" applyNumberFormat="1" applyFont="1" applyFill="1" applyBorder="1" applyAlignment="1">
      <alignment horizontal="right" vertical="top" wrapText="1"/>
    </xf>
    <xf numFmtId="165" fontId="6" fillId="0" borderId="15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4" xfId="0" applyNumberFormat="1" applyFont="1" applyFill="1" applyBorder="1" applyAlignment="1">
      <alignment horizontal="right" vertical="top" wrapText="1"/>
    </xf>
    <xf numFmtId="165" fontId="6" fillId="0" borderId="145" xfId="0" applyNumberFormat="1" applyFont="1" applyFill="1" applyBorder="1" applyAlignment="1">
      <alignment horizontal="right" vertical="top" wrapText="1"/>
    </xf>
    <xf numFmtId="165" fontId="13" fillId="3" borderId="152" xfId="0" applyNumberFormat="1" applyFont="1" applyFill="1" applyBorder="1" applyAlignment="1">
      <alignment horizontal="right"/>
    </xf>
    <xf numFmtId="165" fontId="6" fillId="0" borderId="149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51" xfId="1" applyNumberFormat="1" applyFont="1" applyFill="1" applyBorder="1" applyAlignment="1" applyProtection="1">
      <alignment horizontal="right" vertical="top" wrapText="1"/>
      <protection locked="0"/>
    </xf>
    <xf numFmtId="165" fontId="6" fillId="0" borderId="149" xfId="0" applyNumberFormat="1" applyFont="1" applyFill="1" applyBorder="1" applyAlignment="1" applyProtection="1">
      <alignment horizontal="right" vertical="top" wrapText="1"/>
      <protection locked="0"/>
    </xf>
    <xf numFmtId="4" fontId="6" fillId="0" borderId="15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4" xfId="0" applyNumberFormat="1" applyFont="1" applyFill="1" applyBorder="1" applyAlignment="1" applyProtection="1">
      <alignment horizontal="right" vertical="top" wrapText="1"/>
      <protection locked="0"/>
    </xf>
    <xf numFmtId="0" fontId="6" fillId="0" borderId="140" xfId="0" applyFont="1" applyFill="1" applyBorder="1" applyAlignment="1">
      <alignment horizontal="center" vertical="center" wrapText="1"/>
    </xf>
    <xf numFmtId="165" fontId="13" fillId="0" borderId="153" xfId="0" applyNumberFormat="1" applyFont="1" applyBorder="1" applyAlignment="1">
      <alignment horizontal="right"/>
    </xf>
    <xf numFmtId="165" fontId="13" fillId="0" borderId="152" xfId="0" applyNumberFormat="1" applyFont="1" applyBorder="1" applyAlignment="1">
      <alignment horizontal="right"/>
    </xf>
    <xf numFmtId="165" fontId="13" fillId="3" borderId="143" xfId="0" applyNumberFormat="1" applyFont="1" applyFill="1" applyBorder="1" applyAlignment="1">
      <alignment horizontal="right" wrapText="1"/>
    </xf>
    <xf numFmtId="165" fontId="13" fillId="3" borderId="142" xfId="0" applyNumberFormat="1" applyFont="1" applyFill="1" applyBorder="1" applyAlignment="1">
      <alignment horizontal="right" wrapText="1"/>
    </xf>
    <xf numFmtId="165" fontId="13" fillId="0" borderId="155" xfId="0" applyNumberFormat="1" applyFont="1" applyBorder="1" applyAlignment="1">
      <alignment horizontal="right"/>
    </xf>
    <xf numFmtId="165" fontId="13" fillId="3" borderId="147" xfId="0" applyNumberFormat="1" applyFont="1" applyFill="1" applyBorder="1" applyAlignment="1">
      <alignment horizontal="right" wrapText="1"/>
    </xf>
    <xf numFmtId="165" fontId="6" fillId="0" borderId="146" xfId="0" applyNumberFormat="1" applyFont="1" applyFill="1" applyBorder="1" applyAlignment="1">
      <alignment horizontal="right" vertical="top" wrapText="1"/>
    </xf>
    <xf numFmtId="165" fontId="6" fillId="0" borderId="146" xfId="0" applyNumberFormat="1" applyFont="1" applyFill="1" applyBorder="1" applyAlignment="1" applyProtection="1">
      <alignment horizontal="right" vertical="top" wrapText="1"/>
      <protection locked="0"/>
    </xf>
    <xf numFmtId="165" fontId="6" fillId="0" borderId="148" xfId="0" applyNumberFormat="1" applyFont="1" applyFill="1" applyBorder="1" applyAlignment="1">
      <alignment horizontal="right" vertical="top" wrapText="1"/>
    </xf>
    <xf numFmtId="49" fontId="22" fillId="0" borderId="0" xfId="0" applyNumberFormat="1" applyFont="1" applyBorder="1" applyAlignment="1">
      <alignment horizontal="left"/>
    </xf>
    <xf numFmtId="49" fontId="5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/>
    <xf numFmtId="0" fontId="6" fillId="0" borderId="142" xfId="0" applyFont="1" applyBorder="1" applyAlignment="1">
      <alignment horizontal="center"/>
    </xf>
    <xf numFmtId="0" fontId="6" fillId="0" borderId="143" xfId="0" applyFont="1" applyBorder="1" applyAlignment="1">
      <alignment horizontal="center"/>
    </xf>
    <xf numFmtId="4" fontId="6" fillId="0" borderId="142" xfId="0" applyNumberFormat="1" applyFont="1" applyBorder="1"/>
    <xf numFmtId="4" fontId="6" fillId="0" borderId="143" xfId="0" applyNumberFormat="1" applyFont="1" applyBorder="1"/>
    <xf numFmtId="4" fontId="13" fillId="0" borderId="142" xfId="0" applyNumberFormat="1" applyFont="1" applyBorder="1" applyAlignment="1"/>
    <xf numFmtId="4" fontId="13" fillId="0" borderId="143" xfId="0" applyNumberFormat="1" applyFont="1" applyBorder="1" applyAlignment="1"/>
    <xf numFmtId="4" fontId="6" fillId="0" borderId="142" xfId="0" applyNumberFormat="1" applyFont="1" applyFill="1" applyBorder="1"/>
    <xf numFmtId="4" fontId="6" fillId="0" borderId="143" xfId="0" applyNumberFormat="1" applyFont="1" applyFill="1" applyBorder="1"/>
    <xf numFmtId="4" fontId="13" fillId="0" borderId="142" xfId="0" applyNumberFormat="1" applyFont="1" applyFill="1" applyBorder="1" applyAlignment="1" applyProtection="1"/>
    <xf numFmtId="4" fontId="13" fillId="0" borderId="143" xfId="0" applyNumberFormat="1" applyFont="1" applyFill="1" applyBorder="1" applyAlignment="1" applyProtection="1"/>
    <xf numFmtId="4" fontId="8" fillId="0" borderId="142" xfId="0" applyNumberFormat="1" applyFont="1" applyBorder="1"/>
    <xf numFmtId="4" fontId="8" fillId="0" borderId="143" xfId="0" applyNumberFormat="1" applyFont="1" applyBorder="1"/>
    <xf numFmtId="4" fontId="15" fillId="0" borderId="142" xfId="0" applyNumberFormat="1" applyFont="1" applyBorder="1"/>
    <xf numFmtId="4" fontId="15" fillId="0" borderId="143" xfId="0" applyNumberFormat="1" applyFont="1" applyBorder="1"/>
    <xf numFmtId="4" fontId="11" fillId="0" borderId="142" xfId="0" applyNumberFormat="1" applyFont="1" applyBorder="1"/>
    <xf numFmtId="4" fontId="11" fillId="0" borderId="143" xfId="0" applyNumberFormat="1" applyFont="1" applyBorder="1"/>
    <xf numFmtId="4" fontId="11" fillId="0" borderId="142" xfId="0" applyNumberFormat="1" applyFont="1" applyBorder="1" applyAlignment="1">
      <alignment horizontal="center"/>
    </xf>
    <xf numFmtId="4" fontId="11" fillId="0" borderId="143" xfId="0" applyNumberFormat="1" applyFont="1" applyBorder="1" applyAlignment="1">
      <alignment horizont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wrapText="1"/>
    </xf>
    <xf numFmtId="3" fontId="6" fillId="0" borderId="0" xfId="0" applyNumberFormat="1" applyFont="1"/>
    <xf numFmtId="165" fontId="21" fillId="0" borderId="0" xfId="0" applyNumberFormat="1" applyFont="1" applyAlignment="1">
      <alignment horizontal="right"/>
    </xf>
    <xf numFmtId="0" fontId="4" fillId="0" borderId="156" xfId="0" applyFont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13" fillId="3" borderId="100" xfId="0" applyFont="1" applyFill="1" applyBorder="1" applyAlignment="1" applyProtection="1">
      <alignment horizontal="left" vertical="top" wrapText="1"/>
    </xf>
    <xf numFmtId="0" fontId="13" fillId="3" borderId="101" xfId="0" applyFont="1" applyFill="1" applyBorder="1" applyAlignment="1" applyProtection="1">
      <alignment horizontal="left" vertical="top" wrapText="1"/>
    </xf>
    <xf numFmtId="0" fontId="13" fillId="3" borderId="92" xfId="0" applyFont="1" applyFill="1" applyBorder="1" applyAlignment="1" applyProtection="1">
      <alignment horizontal="left" vertical="top" wrapText="1"/>
    </xf>
    <xf numFmtId="0" fontId="6" fillId="0" borderId="139" xfId="0" applyFont="1" applyFill="1" applyBorder="1" applyAlignment="1">
      <alignment horizontal="center" vertical="center" wrapText="1"/>
    </xf>
    <xf numFmtId="0" fontId="6" fillId="0" borderId="154" xfId="0" applyFont="1" applyFill="1" applyBorder="1" applyAlignment="1">
      <alignment horizontal="center" vertical="center" wrapText="1"/>
    </xf>
    <xf numFmtId="165" fontId="6" fillId="0" borderId="149" xfId="0" applyNumberFormat="1" applyFont="1" applyFill="1" applyBorder="1" applyAlignment="1">
      <alignment horizontal="center" vertical="center" wrapText="1"/>
    </xf>
    <xf numFmtId="165" fontId="6" fillId="0" borderId="150" xfId="0" applyNumberFormat="1" applyFont="1" applyFill="1" applyBorder="1" applyAlignment="1">
      <alignment horizontal="center" vertical="center" wrapText="1"/>
    </xf>
    <xf numFmtId="49" fontId="16" fillId="3" borderId="91" xfId="0" applyNumberFormat="1" applyFont="1" applyFill="1" applyBorder="1" applyAlignment="1">
      <alignment horizontal="left" vertical="center" wrapText="1"/>
    </xf>
    <xf numFmtId="49" fontId="16" fillId="3" borderId="62" xfId="0" applyNumberFormat="1" applyFont="1" applyFill="1" applyBorder="1" applyAlignment="1">
      <alignment horizontal="left" vertical="center" wrapText="1"/>
    </xf>
    <xf numFmtId="0" fontId="13" fillId="3" borderId="59" xfId="0" applyFont="1" applyFill="1" applyBorder="1" applyAlignment="1">
      <alignment horizontal="left" vertical="center" wrapText="1"/>
    </xf>
    <xf numFmtId="0" fontId="13" fillId="3" borderId="61" xfId="0" applyFont="1" applyFill="1" applyBorder="1" applyAlignment="1">
      <alignment horizontal="left" vertical="center" wrapText="1"/>
    </xf>
    <xf numFmtId="0" fontId="13" fillId="3" borderId="59" xfId="0" applyFont="1" applyFill="1" applyBorder="1" applyAlignment="1" applyProtection="1">
      <alignment horizontal="left" vertical="center" wrapText="1"/>
    </xf>
    <xf numFmtId="0" fontId="13" fillId="3" borderId="61" xfId="0" applyFont="1" applyFill="1" applyBorder="1" applyAlignment="1" applyProtection="1">
      <alignment horizontal="left" vertical="center" wrapText="1"/>
    </xf>
    <xf numFmtId="49" fontId="5" fillId="0" borderId="0" xfId="0" applyNumberFormat="1" applyFont="1" applyBorder="1" applyAlignment="1">
      <alignment horizontal="center" vertical="top" wrapText="1"/>
    </xf>
    <xf numFmtId="0" fontId="6" fillId="2" borderId="69" xfId="0" applyFont="1" applyFill="1" applyBorder="1" applyAlignment="1">
      <alignment horizontal="center" vertical="center" wrapText="1"/>
    </xf>
    <xf numFmtId="0" fontId="6" fillId="2" borderId="80" xfId="0" applyFont="1" applyFill="1" applyBorder="1" applyAlignment="1">
      <alignment horizontal="center" vertical="center" wrapText="1"/>
    </xf>
    <xf numFmtId="0" fontId="6" fillId="2" borderId="84" xfId="0" applyFont="1" applyFill="1" applyBorder="1" applyAlignment="1">
      <alignment horizontal="center" vertical="center" wrapText="1"/>
    </xf>
    <xf numFmtId="0" fontId="6" fillId="2" borderId="85" xfId="0" applyFont="1" applyFill="1" applyBorder="1" applyAlignment="1">
      <alignment horizontal="center" vertical="center" wrapText="1"/>
    </xf>
    <xf numFmtId="0" fontId="6" fillId="2" borderId="81" xfId="0" applyFont="1" applyFill="1" applyBorder="1" applyAlignment="1">
      <alignment horizontal="center" vertical="center" wrapText="1"/>
    </xf>
    <xf numFmtId="0" fontId="6" fillId="2" borderId="86" xfId="0" applyFont="1" applyFill="1" applyBorder="1" applyAlignment="1">
      <alignment horizontal="center" vertical="center" wrapText="1"/>
    </xf>
    <xf numFmtId="0" fontId="6" fillId="2" borderId="82" xfId="0" applyFont="1" applyFill="1" applyBorder="1" applyAlignment="1">
      <alignment horizontal="center" vertical="center" wrapText="1"/>
    </xf>
    <xf numFmtId="0" fontId="6" fillId="2" borderId="87" xfId="0" applyFont="1" applyFill="1" applyBorder="1" applyAlignment="1">
      <alignment horizontal="center" vertical="center" wrapText="1"/>
    </xf>
    <xf numFmtId="165" fontId="6" fillId="2" borderId="66" xfId="0" applyNumberFormat="1" applyFont="1" applyFill="1" applyBorder="1" applyAlignment="1">
      <alignment horizontal="center" vertical="center" wrapText="1"/>
    </xf>
    <xf numFmtId="165" fontId="6" fillId="2" borderId="79" xfId="0" applyNumberFormat="1" applyFont="1" applyFill="1" applyBorder="1" applyAlignment="1">
      <alignment horizontal="center" vertical="center" wrapText="1"/>
    </xf>
    <xf numFmtId="165" fontId="6" fillId="2" borderId="83" xfId="0" applyNumberFormat="1" applyFont="1" applyFill="1" applyBorder="1" applyAlignment="1">
      <alignment horizontal="center" vertical="center" wrapText="1"/>
    </xf>
    <xf numFmtId="165" fontId="6" fillId="2" borderId="70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K55"/>
  <sheetViews>
    <sheetView tabSelected="1" zoomScale="120" zoomScaleNormal="120" zoomScaleSheetLayoutView="100" zoomScalePageLayoutView="115" workbookViewId="0">
      <pane xSplit="4" ySplit="6" topLeftCell="E22" activePane="bottomRight" state="frozen"/>
      <selection activeCell="R14" sqref="R14"/>
      <selection pane="topRight" activeCell="R14" sqref="R14"/>
      <selection pane="bottomLeft" activeCell="R14" sqref="R14"/>
      <selection pane="bottomRight" activeCell="Y32" sqref="Y32"/>
    </sheetView>
  </sheetViews>
  <sheetFormatPr defaultColWidth="9.28515625" defaultRowHeight="12.75" outlineLevelRow="1" outlineLevelCol="1" x14ac:dyDescent="0.2"/>
  <cols>
    <col min="1" max="1" width="3.5703125" style="12" customWidth="1"/>
    <col min="2" max="2" width="23.5703125" style="4" customWidth="1"/>
    <col min="3" max="3" width="4.140625" style="4" customWidth="1"/>
    <col min="4" max="4" width="10.5703125" style="4" customWidth="1"/>
    <col min="5" max="5" width="4.28515625" style="22" customWidth="1"/>
    <col min="6" max="9" width="7.5703125" style="24" customWidth="1"/>
    <col min="10" max="10" width="8" style="34" hidden="1" customWidth="1" outlineLevel="1"/>
    <col min="11" max="11" width="10.42578125" style="24" customWidth="1" collapsed="1"/>
    <col min="12" max="12" width="4.28515625" style="22" customWidth="1"/>
    <col min="13" max="16" width="7.5703125" style="24" customWidth="1"/>
    <col min="17" max="17" width="8.28515625" style="34" hidden="1" customWidth="1" outlineLevel="1"/>
    <col min="18" max="18" width="10.42578125" style="24" customWidth="1" collapsed="1"/>
    <col min="19" max="19" width="4.28515625" style="22" customWidth="1"/>
    <col min="20" max="23" width="7.5703125" style="24" customWidth="1"/>
    <col min="24" max="24" width="8.28515625" style="34" hidden="1" customWidth="1" outlineLevel="1"/>
    <col min="25" max="25" width="10.42578125" style="24" customWidth="1" collapsed="1"/>
    <col min="26" max="26" width="9.5703125" style="4" customWidth="1"/>
    <col min="27" max="29" width="9.5703125" style="18" customWidth="1"/>
    <col min="30" max="30" width="9.42578125" style="4" customWidth="1"/>
    <col min="31" max="31" width="9.28515625" style="4" customWidth="1"/>
    <col min="32" max="32" width="9" style="4" customWidth="1"/>
    <col min="33" max="33" width="9.42578125" style="4" customWidth="1"/>
    <col min="34" max="34" width="9.28515625" style="4" customWidth="1"/>
    <col min="35" max="35" width="9.42578125" style="4" customWidth="1"/>
    <col min="36" max="36" width="8.85546875" style="4" customWidth="1"/>
    <col min="37" max="37" width="9.28515625" style="4" customWidth="1"/>
    <col min="38" max="16384" width="9.28515625" style="4"/>
  </cols>
  <sheetData>
    <row r="1" spans="1:37" s="1" customFormat="1" ht="111" hidden="1" customHeight="1" x14ac:dyDescent="0.3">
      <c r="A1" s="11"/>
      <c r="E1" s="20"/>
      <c r="F1" s="23"/>
      <c r="G1" s="23"/>
      <c r="H1" s="23"/>
      <c r="I1" s="23"/>
      <c r="J1" s="33"/>
      <c r="K1" s="23"/>
      <c r="L1" s="20"/>
      <c r="M1" s="23"/>
      <c r="N1" s="23"/>
      <c r="O1" s="23"/>
      <c r="P1" s="23"/>
      <c r="Q1" s="33"/>
      <c r="R1" s="23"/>
      <c r="S1" s="20"/>
      <c r="T1" s="23"/>
      <c r="U1" s="23"/>
      <c r="V1" s="23"/>
      <c r="W1" s="23"/>
      <c r="X1" s="33"/>
      <c r="Y1" s="23"/>
      <c r="AA1" s="86"/>
      <c r="AB1" s="86"/>
      <c r="AC1" s="86"/>
    </row>
    <row r="2" spans="1:37" s="2" customFormat="1" ht="26.25" customHeight="1" x14ac:dyDescent="0.35">
      <c r="A2" s="294" t="s">
        <v>37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AA2" s="255"/>
      <c r="AB2" s="255"/>
      <c r="AC2" s="255"/>
      <c r="AD2" s="256"/>
      <c r="AE2" s="275">
        <f>AJ2-AJ6</f>
        <v>0</v>
      </c>
      <c r="AF2" s="276">
        <v>17412</v>
      </c>
      <c r="AG2" s="276">
        <v>156413.90359866701</v>
      </c>
      <c r="AH2" s="276">
        <f>AF2*F33</f>
        <v>18114.748319999999</v>
      </c>
      <c r="AI2" s="276">
        <f>R6-AH2</f>
        <v>140515.44128266635</v>
      </c>
      <c r="AJ2" s="276">
        <f>F34*F33*AF2</f>
        <v>18837.345630484797</v>
      </c>
      <c r="AK2" s="276">
        <f>Y6-AJ2</f>
        <v>198348.78090376221</v>
      </c>
    </row>
    <row r="3" spans="1:37" s="3" customFormat="1" ht="15" customHeight="1" outlineLevel="1" x14ac:dyDescent="0.25">
      <c r="A3" s="128"/>
      <c r="B3" s="128"/>
      <c r="C3" s="128"/>
      <c r="D3" s="128"/>
      <c r="E3" s="21"/>
      <c r="F3" s="14"/>
      <c r="G3" s="14"/>
      <c r="H3" s="14"/>
      <c r="I3" s="94"/>
      <c r="J3" s="129"/>
      <c r="K3" s="14"/>
      <c r="L3" s="21"/>
      <c r="M3" s="14"/>
      <c r="N3" s="14"/>
      <c r="O3" s="14"/>
      <c r="P3" s="14"/>
      <c r="Q3" s="129"/>
      <c r="R3" s="14"/>
      <c r="S3" s="21"/>
      <c r="T3" s="14"/>
      <c r="U3" s="14"/>
      <c r="V3" s="14"/>
      <c r="W3" s="14"/>
      <c r="X3" s="129"/>
      <c r="Y3" s="14" t="s">
        <v>45</v>
      </c>
      <c r="Z3" s="254"/>
      <c r="AA3" s="87"/>
      <c r="AB3" s="87"/>
      <c r="AC3" s="87"/>
      <c r="AF3" s="279" t="s">
        <v>49</v>
      </c>
      <c r="AG3" s="279"/>
      <c r="AH3" s="279"/>
      <c r="AI3" s="279"/>
      <c r="AJ3" s="279"/>
      <c r="AK3" s="279"/>
    </row>
    <row r="4" spans="1:37" ht="27.75" customHeight="1" x14ac:dyDescent="0.2">
      <c r="A4" s="295" t="s">
        <v>0</v>
      </c>
      <c r="B4" s="296"/>
      <c r="C4" s="299" t="s">
        <v>1</v>
      </c>
      <c r="D4" s="301" t="s">
        <v>24</v>
      </c>
      <c r="E4" s="303" t="s">
        <v>33</v>
      </c>
      <c r="F4" s="304"/>
      <c r="G4" s="304"/>
      <c r="H4" s="304"/>
      <c r="I4" s="304"/>
      <c r="J4" s="304"/>
      <c r="K4" s="305"/>
      <c r="L4" s="303" t="s">
        <v>34</v>
      </c>
      <c r="M4" s="304"/>
      <c r="N4" s="304"/>
      <c r="O4" s="304"/>
      <c r="P4" s="304"/>
      <c r="Q4" s="304"/>
      <c r="R4" s="304"/>
      <c r="S4" s="303" t="s">
        <v>35</v>
      </c>
      <c r="T4" s="304"/>
      <c r="U4" s="304"/>
      <c r="V4" s="304"/>
      <c r="W4" s="304"/>
      <c r="X4" s="304"/>
      <c r="Y4" s="306"/>
      <c r="Z4" s="284" t="s">
        <v>43</v>
      </c>
      <c r="AA4" s="285"/>
      <c r="AB4" s="286" t="s">
        <v>41</v>
      </c>
      <c r="AC4" s="287"/>
      <c r="AD4" s="280" t="s">
        <v>48</v>
      </c>
      <c r="AE4" s="280"/>
      <c r="AF4" s="280">
        <v>2021</v>
      </c>
      <c r="AG4" s="280"/>
      <c r="AH4" s="280">
        <v>2022</v>
      </c>
      <c r="AI4" s="280"/>
      <c r="AJ4" s="280">
        <v>2023</v>
      </c>
      <c r="AK4" s="280"/>
    </row>
    <row r="5" spans="1:37" ht="30" customHeight="1" x14ac:dyDescent="0.2">
      <c r="A5" s="297"/>
      <c r="B5" s="298"/>
      <c r="C5" s="300"/>
      <c r="D5" s="302"/>
      <c r="E5" s="57" t="s">
        <v>2</v>
      </c>
      <c r="F5" s="58" t="s">
        <v>3</v>
      </c>
      <c r="G5" s="58" t="s">
        <v>4</v>
      </c>
      <c r="H5" s="58" t="s">
        <v>5</v>
      </c>
      <c r="I5" s="59" t="s">
        <v>6</v>
      </c>
      <c r="J5" s="60" t="s">
        <v>7</v>
      </c>
      <c r="K5" s="130" t="s">
        <v>8</v>
      </c>
      <c r="L5" s="57" t="s">
        <v>2</v>
      </c>
      <c r="M5" s="58" t="s">
        <v>3</v>
      </c>
      <c r="N5" s="58" t="s">
        <v>4</v>
      </c>
      <c r="O5" s="58" t="s">
        <v>5</v>
      </c>
      <c r="P5" s="59" t="s">
        <v>6</v>
      </c>
      <c r="Q5" s="60" t="s">
        <v>7</v>
      </c>
      <c r="R5" s="131" t="s">
        <v>8</v>
      </c>
      <c r="S5" s="57" t="s">
        <v>2</v>
      </c>
      <c r="T5" s="58" t="s">
        <v>3</v>
      </c>
      <c r="U5" s="58" t="s">
        <v>4</v>
      </c>
      <c r="V5" s="58" t="s">
        <v>5</v>
      </c>
      <c r="W5" s="59" t="s">
        <v>6</v>
      </c>
      <c r="X5" s="60" t="s">
        <v>7</v>
      </c>
      <c r="Y5" s="132" t="s">
        <v>8</v>
      </c>
      <c r="Z5" s="244" t="s">
        <v>38</v>
      </c>
      <c r="AA5" s="230" t="s">
        <v>39</v>
      </c>
      <c r="AB5" s="231" t="s">
        <v>40</v>
      </c>
      <c r="AC5" s="228" t="s">
        <v>42</v>
      </c>
      <c r="AD5" s="257" t="s">
        <v>38</v>
      </c>
      <c r="AE5" s="258" t="s">
        <v>21</v>
      </c>
      <c r="AF5" s="257" t="s">
        <v>46</v>
      </c>
      <c r="AG5" s="258" t="s">
        <v>47</v>
      </c>
      <c r="AH5" s="257" t="s">
        <v>46</v>
      </c>
      <c r="AI5" s="258" t="s">
        <v>47</v>
      </c>
      <c r="AJ5" s="257" t="s">
        <v>46</v>
      </c>
      <c r="AK5" s="258" t="s">
        <v>47</v>
      </c>
    </row>
    <row r="6" spans="1:37" ht="20.25" customHeight="1" collapsed="1" x14ac:dyDescent="0.25">
      <c r="A6" s="288" t="s">
        <v>20</v>
      </c>
      <c r="B6" s="289"/>
      <c r="C6" s="289"/>
      <c r="D6" s="223">
        <f>D7+D14+D20+D22+D24</f>
        <v>507931.26357343694</v>
      </c>
      <c r="E6" s="213"/>
      <c r="F6" s="214">
        <f>IF(SUBTOTAL(9,F7:F28)=0,"",SUBTOTAL(9,F7:F28))</f>
        <v>51948.226496116753</v>
      </c>
      <c r="G6" s="215">
        <f>IF(SUBTOTAL(9,G7:G28)=0,"",SUBTOTAL(9,G7:G28))</f>
        <v>38158.623340416751</v>
      </c>
      <c r="H6" s="216">
        <f>IF(SUBTOTAL(9,H7:H28)=0,"",SUBTOTAL(9,H7:H28))</f>
        <v>46729.062276716752</v>
      </c>
      <c r="I6" s="215">
        <f>IF(SUBTOTAL(9,I7:I28)=0,"",SUBTOTAL(9,I7:I28))</f>
        <v>36989.991485416751</v>
      </c>
      <c r="J6" s="217">
        <f>SUM(F6:I6)-K6</f>
        <v>0</v>
      </c>
      <c r="K6" s="218">
        <f>SUBTOTAL(9,K7:K28)</f>
        <v>173825.90359866701</v>
      </c>
      <c r="L6" s="219"/>
      <c r="M6" s="214">
        <f>IF(SUBTOTAL(9,M7:M28)=0,"",SUBTOTAL(9,M7:M28))</f>
        <v>34088.49782879158</v>
      </c>
      <c r="N6" s="215">
        <f>IF(SUBTOTAL(9,N7:N28)=0,"",SUBTOTAL(9,N7:N28))</f>
        <v>35598.399032958252</v>
      </c>
      <c r="O6" s="216">
        <f>IF(SUBTOTAL(9,O7:O28)=0,"",SUBTOTAL(9,O7:O28))</f>
        <v>41769.10793295825</v>
      </c>
      <c r="P6" s="215">
        <f>IF(SUBTOTAL(9,P7:P28)=0,"",SUBTOTAL(9,P7:P28))</f>
        <v>47174.184807958256</v>
      </c>
      <c r="Q6" s="217">
        <f>SUM(M6:P6)-R6</f>
        <v>0</v>
      </c>
      <c r="R6" s="220">
        <f>SUBTOTAL(9,R7:R28)</f>
        <v>158630.18960266633</v>
      </c>
      <c r="S6" s="221"/>
      <c r="T6" s="214">
        <f>IF(SUBTOTAL(9,T7:T28)=0,"",SUBTOTAL(9,T7:T28))</f>
        <v>49668.35076553675</v>
      </c>
      <c r="U6" s="215">
        <f>IF(SUBTOTAL(9,U7:U28)=0,"",SUBTOTAL(9,U7:U28))</f>
        <v>54768.098625583414</v>
      </c>
      <c r="V6" s="216">
        <f>IF(SUBTOTAL(9,V7:V28)=0,"",SUBTOTAL(9,V7:V28))</f>
        <v>63081.326377590085</v>
      </c>
      <c r="W6" s="215">
        <f>IF(SUBTOTAL(9,W7:W28)=0,"",SUBTOTAL(9,W7:W28))</f>
        <v>49668.35076553675</v>
      </c>
      <c r="X6" s="217">
        <f>SUM(T6:W6)-Y6</f>
        <v>0</v>
      </c>
      <c r="Y6" s="222">
        <f>SUBTOTAL(9,Y7:Y28)</f>
        <v>217186.12653424701</v>
      </c>
      <c r="Z6" s="238">
        <f>D6</f>
        <v>507931.26357343694</v>
      </c>
      <c r="AA6" s="249">
        <f>AA7+AA14+AA20+AA22+AA24</f>
        <v>609517.51628812426</v>
      </c>
      <c r="AB6" s="246">
        <f>AB7+AB14+AB20+AB22+AB24</f>
        <v>549642.21973558026</v>
      </c>
      <c r="AC6" s="245">
        <f>AB6*1.2</f>
        <v>659570.66368269629</v>
      </c>
      <c r="AD6" s="271">
        <f>K6+R6+Y6</f>
        <v>549642.21973558026</v>
      </c>
      <c r="AE6" s="272">
        <f>AD6*1.2</f>
        <v>659570.66368269629</v>
      </c>
      <c r="AF6" s="273">
        <f t="shared" ref="AF6:AK6" si="0">SUBTOTAL(9,AF7:AF28)</f>
        <v>17411.999999999993</v>
      </c>
      <c r="AG6" s="274">
        <f t="shared" si="0"/>
        <v>156413.90359866701</v>
      </c>
      <c r="AH6" s="273">
        <f t="shared" si="0"/>
        <v>18114.748319999999</v>
      </c>
      <c r="AI6" s="274">
        <f t="shared" si="0"/>
        <v>140515.44128266635</v>
      </c>
      <c r="AJ6" s="273">
        <f t="shared" si="0"/>
        <v>18837.345630484797</v>
      </c>
      <c r="AK6" s="274">
        <f t="shared" si="0"/>
        <v>198348.78090376221</v>
      </c>
    </row>
    <row r="7" spans="1:37" s="5" customFormat="1" ht="34.5" customHeight="1" x14ac:dyDescent="0.2">
      <c r="A7" s="290" t="s">
        <v>50</v>
      </c>
      <c r="B7" s="291"/>
      <c r="C7" s="291"/>
      <c r="D7" s="82">
        <f>K7/D32+R7/D33+Y7/D34</f>
        <v>14334.603333333334</v>
      </c>
      <c r="E7" s="83"/>
      <c r="F7" s="133" t="str">
        <f>IF(SUBTOTAL(9,F8:F13)=0,"",SUBTOTAL(9,F8:F13))</f>
        <v/>
      </c>
      <c r="G7" s="133">
        <f>IF(SUBTOTAL(9,G8:G13)=0,"",SUBTOTAL(9,G8:G13))</f>
        <v>1168.6318550000001</v>
      </c>
      <c r="H7" s="133">
        <f>IF(SUBTOTAL(9,H8:H13)=0,"",SUBTOTAL(9,H8:H13))</f>
        <v>3873.1482088000002</v>
      </c>
      <c r="I7" s="133" t="str">
        <f t="shared" ref="I7:X7" si="1">IF(SUBTOTAL(9,I8:I13)=0,"",SUBTOTAL(9,I8:I13))</f>
        <v/>
      </c>
      <c r="J7" s="134" t="str">
        <f t="shared" si="1"/>
        <v/>
      </c>
      <c r="K7" s="88">
        <f t="shared" si="1"/>
        <v>5041.7800638000008</v>
      </c>
      <c r="L7" s="41"/>
      <c r="M7" s="88">
        <f t="shared" si="1"/>
        <v>340.70520833333342</v>
      </c>
      <c r="N7" s="88">
        <f t="shared" si="1"/>
        <v>1850.6064125000003</v>
      </c>
      <c r="O7" s="88">
        <f t="shared" si="1"/>
        <v>2132.3291666666669</v>
      </c>
      <c r="P7" s="88">
        <f t="shared" si="1"/>
        <v>912.89218750000009</v>
      </c>
      <c r="Q7" s="134" t="str">
        <f t="shared" si="1"/>
        <v/>
      </c>
      <c r="R7" s="135">
        <f t="shared" si="1"/>
        <v>5236.532975000001</v>
      </c>
      <c r="S7" s="83"/>
      <c r="T7" s="88" t="str">
        <f t="shared" si="1"/>
        <v/>
      </c>
      <c r="U7" s="88">
        <f t="shared" si="1"/>
        <v>2416.1033216666669</v>
      </c>
      <c r="V7" s="88">
        <f t="shared" si="1"/>
        <v>2775.7037425000003</v>
      </c>
      <c r="W7" s="88" t="str">
        <f t="shared" si="1"/>
        <v/>
      </c>
      <c r="X7" s="134" t="str">
        <f t="shared" si="1"/>
        <v/>
      </c>
      <c r="Y7" s="136">
        <f>IF(SUBTOTAL(9,Y8:Y13)=0,"",SUBTOTAL(9,Y8:Y13))</f>
        <v>5191.8070641666673</v>
      </c>
      <c r="Z7" s="229">
        <f>D7</f>
        <v>14334.603333333334</v>
      </c>
      <c r="AA7" s="250">
        <f>D7*1.2</f>
        <v>17201.524000000001</v>
      </c>
      <c r="AB7" s="248">
        <f>(K7+R7+Y7)</f>
        <v>15470.12010296667</v>
      </c>
      <c r="AC7" s="247">
        <f>AB7*1.2</f>
        <v>18564.144123560003</v>
      </c>
      <c r="AD7" s="271">
        <f>K7+R7+Y7</f>
        <v>15470.12010296667</v>
      </c>
      <c r="AE7" s="272">
        <f>AD7*1.2</f>
        <v>18564.144123560003</v>
      </c>
      <c r="AF7" s="261">
        <f t="shared" ref="AF7" si="2">IF(SUBTOTAL(9,AF8:AF13)=0,"",SUBTOTAL(9,AF8:AF13))</f>
        <v>5041.7800638000008</v>
      </c>
      <c r="AG7" s="262" t="str">
        <f t="shared" ref="AG7" si="3">IF(SUBTOTAL(9,AG8:AG13)=0,"",SUBTOTAL(9,AG8:AG13))</f>
        <v/>
      </c>
      <c r="AH7" s="261">
        <f t="shared" ref="AH7" si="4">IF(SUBTOTAL(9,AH8:AH13)=0,"",SUBTOTAL(9,AH8:AH13))</f>
        <v>5236.532975000001</v>
      </c>
      <c r="AI7" s="262" t="str">
        <f t="shared" ref="AI7" si="5">IF(SUBTOTAL(9,AI8:AI13)=0,"",SUBTOTAL(9,AI8:AI13))</f>
        <v/>
      </c>
      <c r="AJ7" s="261">
        <f t="shared" ref="AJ7" si="6">IF(SUBTOTAL(9,AJ8:AJ13)=0,"",SUBTOTAL(9,AJ8:AJ13))</f>
        <v>5191.8070641666673</v>
      </c>
      <c r="AK7" s="262" t="str">
        <f t="shared" ref="AK7" si="7">IF(SUBTOTAL(9,AK8:AK13)=0,"",SUBTOTAL(9,AK8:AK13))</f>
        <v/>
      </c>
    </row>
    <row r="8" spans="1:37" ht="15" customHeight="1" outlineLevel="1" x14ac:dyDescent="0.2">
      <c r="A8" s="137">
        <v>1</v>
      </c>
      <c r="B8" s="84" t="s">
        <v>9</v>
      </c>
      <c r="C8" s="85" t="s">
        <v>10</v>
      </c>
      <c r="D8" s="99">
        <f>42.3/1.2</f>
        <v>35.25</v>
      </c>
      <c r="E8" s="42">
        <v>35</v>
      </c>
      <c r="F8" s="16"/>
      <c r="G8" s="16">
        <f>D32*D8*(E8-11)</f>
        <v>878.68098000000009</v>
      </c>
      <c r="H8" s="16">
        <f>D32*D8*11</f>
        <v>402.72878250000002</v>
      </c>
      <c r="I8" s="55"/>
      <c r="J8" s="36">
        <f t="shared" ref="J8:J13" si="8">D8*$D$32*E8-K8</f>
        <v>0</v>
      </c>
      <c r="K8" s="37">
        <f t="shared" ref="K8:K13" si="9">SUM(F8:I8)</f>
        <v>1281.4097625000002</v>
      </c>
      <c r="L8" s="42">
        <v>35</v>
      </c>
      <c r="M8" s="16">
        <f>$D$33*D8*5</f>
        <v>190.12968750000002</v>
      </c>
      <c r="N8" s="16">
        <f>D33*D8*10</f>
        <v>380.25937500000003</v>
      </c>
      <c r="O8" s="16">
        <f>D33*D8*10</f>
        <v>380.25937500000003</v>
      </c>
      <c r="P8" s="55">
        <f>D33*D8*10</f>
        <v>380.25937500000003</v>
      </c>
      <c r="Q8" s="36">
        <f t="shared" ref="Q8:Q13" si="10">D8*$D$33*L8-R8</f>
        <v>0</v>
      </c>
      <c r="R8" s="43">
        <f t="shared" ref="R8:R13" si="11">SUM(M8:P8)</f>
        <v>1330.9078125000001</v>
      </c>
      <c r="S8" s="38">
        <v>36</v>
      </c>
      <c r="T8" s="16"/>
      <c r="U8" s="16">
        <f>S8*D8/2*$D$34</f>
        <v>712.09300500000006</v>
      </c>
      <c r="V8" s="16">
        <f>S8*D8/2*$D$34</f>
        <v>712.09300500000006</v>
      </c>
      <c r="W8" s="55"/>
      <c r="X8" s="36">
        <f t="shared" ref="X8:X13" si="12">D8*$D$34*S8-Y8</f>
        <v>0</v>
      </c>
      <c r="Y8" s="138">
        <f t="shared" ref="Y8:Y13" si="13">SUM(T8:W8)</f>
        <v>1424.1860100000001</v>
      </c>
      <c r="Z8" s="239"/>
      <c r="AA8" s="251"/>
      <c r="AB8" s="232"/>
      <c r="AC8" s="233"/>
      <c r="AD8" s="259"/>
      <c r="AE8" s="260"/>
      <c r="AF8" s="259">
        <f>K8</f>
        <v>1281.4097625000002</v>
      </c>
      <c r="AG8" s="260"/>
      <c r="AH8" s="259">
        <f>R8</f>
        <v>1330.9078125000001</v>
      </c>
      <c r="AI8" s="260"/>
      <c r="AJ8" s="259">
        <f>Y8</f>
        <v>1424.1860100000001</v>
      </c>
      <c r="AK8" s="260"/>
    </row>
    <row r="9" spans="1:37" s="6" customFormat="1" ht="15" customHeight="1" outlineLevel="1" x14ac:dyDescent="0.2">
      <c r="A9" s="139">
        <v>2</v>
      </c>
      <c r="B9" s="28" t="s">
        <v>11</v>
      </c>
      <c r="C9" s="29" t="s">
        <v>10</v>
      </c>
      <c r="D9" s="13">
        <f>33.5/1.2</f>
        <v>27.916666666666668</v>
      </c>
      <c r="E9" s="44">
        <v>20</v>
      </c>
      <c r="F9" s="17"/>
      <c r="G9" s="17">
        <f>D32*D9*10</f>
        <v>289.950875</v>
      </c>
      <c r="H9" s="17">
        <f>D32*D9*10</f>
        <v>289.950875</v>
      </c>
      <c r="I9" s="13"/>
      <c r="J9" s="31">
        <f t="shared" si="8"/>
        <v>0</v>
      </c>
      <c r="K9" s="89">
        <f t="shared" si="9"/>
        <v>579.90174999999999</v>
      </c>
      <c r="L9" s="44">
        <v>20</v>
      </c>
      <c r="M9" s="17">
        <f>D33*D9*5</f>
        <v>150.57552083333337</v>
      </c>
      <c r="N9" s="17">
        <f>D33*D9*5</f>
        <v>150.57552083333337</v>
      </c>
      <c r="O9" s="17">
        <f>D33*D9*5</f>
        <v>150.57552083333337</v>
      </c>
      <c r="P9" s="13">
        <f>D33*D9*5</f>
        <v>150.57552083333337</v>
      </c>
      <c r="Q9" s="31">
        <f t="shared" si="10"/>
        <v>0</v>
      </c>
      <c r="R9" s="45">
        <f t="shared" si="11"/>
        <v>602.30208333333348</v>
      </c>
      <c r="S9" s="39">
        <v>20</v>
      </c>
      <c r="T9" s="17"/>
      <c r="U9" s="17">
        <f>S9*D9*$D$34</f>
        <v>626.61191666666673</v>
      </c>
      <c r="V9" s="17"/>
      <c r="W9" s="13"/>
      <c r="X9" s="31">
        <f t="shared" si="12"/>
        <v>0</v>
      </c>
      <c r="Y9" s="140">
        <f t="shared" si="13"/>
        <v>626.61191666666673</v>
      </c>
      <c r="Z9" s="240"/>
      <c r="AA9" s="251"/>
      <c r="AB9" s="232"/>
      <c r="AC9" s="233"/>
      <c r="AD9" s="263"/>
      <c r="AE9" s="264"/>
      <c r="AF9" s="263">
        <f t="shared" ref="AF9:AF13" si="14">K9</f>
        <v>579.90174999999999</v>
      </c>
      <c r="AG9" s="264"/>
      <c r="AH9" s="263">
        <f t="shared" ref="AH9:AH19" si="15">R9</f>
        <v>602.30208333333348</v>
      </c>
      <c r="AI9" s="264"/>
      <c r="AJ9" s="259">
        <f t="shared" ref="AJ9:AJ13" si="16">Y9</f>
        <v>626.61191666666673</v>
      </c>
      <c r="AK9" s="264"/>
    </row>
    <row r="10" spans="1:37" s="6" customFormat="1" ht="13.5" customHeight="1" outlineLevel="1" x14ac:dyDescent="0.2">
      <c r="A10" s="139">
        <v>3</v>
      </c>
      <c r="B10" s="28" t="s">
        <v>14</v>
      </c>
      <c r="C10" s="29" t="s">
        <v>10</v>
      </c>
      <c r="D10" s="13">
        <f>8.5/1.2</f>
        <v>7.0833333333333339</v>
      </c>
      <c r="E10" s="44">
        <v>50</v>
      </c>
      <c r="F10" s="17"/>
      <c r="G10" s="17"/>
      <c r="H10" s="17">
        <f>D32*E10*D10</f>
        <v>367.84812500000004</v>
      </c>
      <c r="I10" s="13"/>
      <c r="J10" s="31">
        <f t="shared" si="8"/>
        <v>0</v>
      </c>
      <c r="K10" s="89">
        <f t="shared" si="9"/>
        <v>367.84812500000004</v>
      </c>
      <c r="L10" s="44">
        <v>50</v>
      </c>
      <c r="M10" s="17"/>
      <c r="N10" s="17"/>
      <c r="O10" s="17"/>
      <c r="P10" s="13">
        <f>D33*D10*L10</f>
        <v>382.05729166666674</v>
      </c>
      <c r="Q10" s="31">
        <f t="shared" si="10"/>
        <v>0</v>
      </c>
      <c r="R10" s="45">
        <f t="shared" si="11"/>
        <v>382.05729166666674</v>
      </c>
      <c r="S10" s="39">
        <v>50</v>
      </c>
      <c r="T10" s="17"/>
      <c r="U10" s="17"/>
      <c r="V10" s="13">
        <f>D34*D10*S10</f>
        <v>397.47770833333334</v>
      </c>
      <c r="W10" s="13"/>
      <c r="X10" s="31">
        <f t="shared" si="12"/>
        <v>0</v>
      </c>
      <c r="Y10" s="140">
        <f t="shared" si="13"/>
        <v>397.47770833333334</v>
      </c>
      <c r="Z10" s="240"/>
      <c r="AA10" s="251"/>
      <c r="AB10" s="232"/>
      <c r="AC10" s="233"/>
      <c r="AD10" s="263"/>
      <c r="AE10" s="264"/>
      <c r="AF10" s="263">
        <f t="shared" si="14"/>
        <v>367.84812500000004</v>
      </c>
      <c r="AG10" s="264"/>
      <c r="AH10" s="263">
        <f t="shared" si="15"/>
        <v>382.05729166666674</v>
      </c>
      <c r="AI10" s="264"/>
      <c r="AJ10" s="259">
        <f t="shared" si="16"/>
        <v>397.47770833333334</v>
      </c>
      <c r="AK10" s="264"/>
    </row>
    <row r="11" spans="1:37" s="6" customFormat="1" ht="15" customHeight="1" outlineLevel="1" x14ac:dyDescent="0.2">
      <c r="A11" s="139">
        <v>4</v>
      </c>
      <c r="B11" s="28" t="s">
        <v>15</v>
      </c>
      <c r="C11" s="29" t="s">
        <v>10</v>
      </c>
      <c r="D11" s="13">
        <f>1152/1.2</f>
        <v>960</v>
      </c>
      <c r="E11" s="44"/>
      <c r="F11" s="17"/>
      <c r="G11" s="17"/>
      <c r="H11" s="17"/>
      <c r="I11" s="13"/>
      <c r="J11" s="31">
        <f t="shared" si="8"/>
        <v>0</v>
      </c>
      <c r="K11" s="89">
        <f t="shared" si="9"/>
        <v>0</v>
      </c>
      <c r="L11" s="44"/>
      <c r="M11" s="17"/>
      <c r="N11" s="17"/>
      <c r="O11" s="17"/>
      <c r="P11" s="13"/>
      <c r="Q11" s="31">
        <f t="shared" si="10"/>
        <v>0</v>
      </c>
      <c r="R11" s="45"/>
      <c r="S11" s="39">
        <v>1</v>
      </c>
      <c r="T11" s="17"/>
      <c r="U11" s="17">
        <f>S11*D11*$D$34</f>
        <v>1077.3984</v>
      </c>
      <c r="V11" s="17"/>
      <c r="W11" s="13"/>
      <c r="X11" s="31">
        <f t="shared" si="12"/>
        <v>0</v>
      </c>
      <c r="Y11" s="140">
        <f t="shared" si="13"/>
        <v>1077.3984</v>
      </c>
      <c r="Z11" s="240"/>
      <c r="AA11" s="251"/>
      <c r="AB11" s="232"/>
      <c r="AC11" s="233"/>
      <c r="AD11" s="263"/>
      <c r="AE11" s="264"/>
      <c r="AF11" s="263">
        <f t="shared" si="14"/>
        <v>0</v>
      </c>
      <c r="AG11" s="264"/>
      <c r="AH11" s="263">
        <f t="shared" si="15"/>
        <v>0</v>
      </c>
      <c r="AI11" s="264"/>
      <c r="AJ11" s="259">
        <f t="shared" si="16"/>
        <v>1077.3984</v>
      </c>
      <c r="AK11" s="264"/>
    </row>
    <row r="12" spans="1:37" s="6" customFormat="1" ht="14.25" customHeight="1" outlineLevel="1" x14ac:dyDescent="0.2">
      <c r="A12" s="139">
        <v>5</v>
      </c>
      <c r="B12" s="28" t="s">
        <v>13</v>
      </c>
      <c r="C12" s="29" t="s">
        <v>10</v>
      </c>
      <c r="D12" s="13">
        <f>1781.5/1.2</f>
        <v>1484.5833333333335</v>
      </c>
      <c r="E12" s="69">
        <v>1</v>
      </c>
      <c r="F12" s="65"/>
      <c r="G12" s="65"/>
      <c r="H12" s="65">
        <f>$D$32*$D12*E12</f>
        <v>1541.9327875000001</v>
      </c>
      <c r="I12" s="66"/>
      <c r="J12" s="67">
        <f t="shared" si="8"/>
        <v>0</v>
      </c>
      <c r="K12" s="68">
        <f t="shared" si="9"/>
        <v>1541.9327875000001</v>
      </c>
      <c r="L12" s="69">
        <v>1</v>
      </c>
      <c r="M12" s="65"/>
      <c r="N12" s="65"/>
      <c r="O12" s="65">
        <f>D12*L12*D33</f>
        <v>1601.4942708333335</v>
      </c>
      <c r="P12" s="66"/>
      <c r="Q12" s="67">
        <f t="shared" si="10"/>
        <v>0</v>
      </c>
      <c r="R12" s="70">
        <f t="shared" si="11"/>
        <v>1601.4942708333335</v>
      </c>
      <c r="S12" s="141">
        <v>1</v>
      </c>
      <c r="T12" s="65"/>
      <c r="U12" s="65"/>
      <c r="V12" s="65">
        <f>D12*S12*D34</f>
        <v>1666.1330291666668</v>
      </c>
      <c r="W12" s="66"/>
      <c r="X12" s="67">
        <f t="shared" si="12"/>
        <v>0</v>
      </c>
      <c r="Y12" s="140">
        <f t="shared" si="13"/>
        <v>1666.1330291666668</v>
      </c>
      <c r="Z12" s="240"/>
      <c r="AA12" s="251"/>
      <c r="AB12" s="232"/>
      <c r="AC12" s="233"/>
      <c r="AD12" s="263"/>
      <c r="AE12" s="264"/>
      <c r="AF12" s="263">
        <f t="shared" si="14"/>
        <v>1541.9327875000001</v>
      </c>
      <c r="AG12" s="264"/>
      <c r="AH12" s="263">
        <f t="shared" si="15"/>
        <v>1601.4942708333335</v>
      </c>
      <c r="AI12" s="264"/>
      <c r="AJ12" s="259">
        <f t="shared" si="16"/>
        <v>1666.1330291666668</v>
      </c>
      <c r="AK12" s="264"/>
    </row>
    <row r="13" spans="1:37" s="6" customFormat="1" ht="27.75" customHeight="1" outlineLevel="1" x14ac:dyDescent="0.2">
      <c r="A13" s="142">
        <v>6</v>
      </c>
      <c r="B13" s="116" t="s">
        <v>28</v>
      </c>
      <c r="C13" s="63" t="s">
        <v>10</v>
      </c>
      <c r="D13" s="64">
        <f>1468.112/1.2</f>
        <v>1223.4266666666667</v>
      </c>
      <c r="E13" s="69">
        <v>1</v>
      </c>
      <c r="F13" s="65"/>
      <c r="G13" s="65"/>
      <c r="H13" s="65">
        <f>E13*D13*$D$32</f>
        <v>1270.6876388000001</v>
      </c>
      <c r="I13" s="66"/>
      <c r="J13" s="67">
        <f t="shared" si="8"/>
        <v>0</v>
      </c>
      <c r="K13" s="68">
        <f t="shared" si="9"/>
        <v>1270.6876388000001</v>
      </c>
      <c r="L13" s="69">
        <v>1</v>
      </c>
      <c r="M13" s="65"/>
      <c r="N13" s="65">
        <f>D33*D13*L13</f>
        <v>1319.7715166666669</v>
      </c>
      <c r="O13" s="65"/>
      <c r="P13" s="64"/>
      <c r="Q13" s="67">
        <f t="shared" si="10"/>
        <v>0</v>
      </c>
      <c r="R13" s="70">
        <f t="shared" si="11"/>
        <v>1319.7715166666669</v>
      </c>
      <c r="S13" s="71"/>
      <c r="T13" s="65"/>
      <c r="U13" s="65"/>
      <c r="V13" s="65"/>
      <c r="W13" s="64"/>
      <c r="X13" s="67">
        <f t="shared" si="12"/>
        <v>0</v>
      </c>
      <c r="Y13" s="143">
        <f t="shared" si="13"/>
        <v>0</v>
      </c>
      <c r="Z13" s="240"/>
      <c r="AA13" s="251"/>
      <c r="AB13" s="232"/>
      <c r="AC13" s="233"/>
      <c r="AD13" s="263"/>
      <c r="AE13" s="264"/>
      <c r="AF13" s="263">
        <f t="shared" si="14"/>
        <v>1270.6876388000001</v>
      </c>
      <c r="AG13" s="264"/>
      <c r="AH13" s="263">
        <f t="shared" si="15"/>
        <v>1319.7715166666669</v>
      </c>
      <c r="AI13" s="264"/>
      <c r="AJ13" s="259">
        <f t="shared" si="16"/>
        <v>0</v>
      </c>
      <c r="AK13" s="264"/>
    </row>
    <row r="14" spans="1:37" s="7" customFormat="1" ht="37.5" customHeight="1" x14ac:dyDescent="0.2">
      <c r="A14" s="292" t="s">
        <v>51</v>
      </c>
      <c r="B14" s="293"/>
      <c r="C14" s="293"/>
      <c r="D14" s="82">
        <f>K14/D32+R14/D33+Y14/D34</f>
        <v>15005.500000000002</v>
      </c>
      <c r="E14" s="72"/>
      <c r="F14" s="73" t="str">
        <f t="shared" ref="F14:K14" si="17">IF(SUBTOTAL(9,F15:F19)=0,"",SUBTOTAL(9,F15:F19))</f>
        <v/>
      </c>
      <c r="G14" s="73" t="str">
        <f t="shared" si="17"/>
        <v/>
      </c>
      <c r="H14" s="81">
        <f t="shared" si="17"/>
        <v>5865.9225825000003</v>
      </c>
      <c r="I14" s="81" t="str">
        <f t="shared" si="17"/>
        <v/>
      </c>
      <c r="J14" s="74" t="str">
        <f t="shared" si="17"/>
        <v/>
      </c>
      <c r="K14" s="75">
        <f t="shared" si="17"/>
        <v>5865.9225825000003</v>
      </c>
      <c r="L14" s="76"/>
      <c r="M14" s="75" t="str">
        <f>IF(SUBTOTAL(9,M15:M19)=0,"",SUBTOTAL(9,M15:M19))</f>
        <v/>
      </c>
      <c r="N14" s="75" t="str">
        <f>IF(SUBTOTAL(9,N15:N19)=0,"",SUBTOTAL(9,N15:N19))</f>
        <v/>
      </c>
      <c r="O14" s="75">
        <f>IF(SUBTOTAL(9,O15:O19)=0,"",SUBTOTAL(9,O15:O19))</f>
        <v>5888.9861458333344</v>
      </c>
      <c r="P14" s="75" t="str">
        <f>IF(SUBTOTAL(9,P15:P19)=0,"",SUBTOTAL(9,P15:P19))</f>
        <v/>
      </c>
      <c r="Q14" s="74"/>
      <c r="R14" s="77">
        <f>IF(SUBTOTAL(9,R15:R19)=0,"",SUBTOTAL(9,R15:R19))</f>
        <v>5888.9861458333344</v>
      </c>
      <c r="S14" s="78"/>
      <c r="T14" s="75" t="str">
        <f t="shared" ref="T14:Y14" si="18">IF(SUBTOTAL(9,T15:T19)=0,"",SUBTOTAL(9,T15:T19))</f>
        <v/>
      </c>
      <c r="U14" s="75" t="str">
        <f t="shared" si="18"/>
        <v/>
      </c>
      <c r="V14" s="75">
        <f t="shared" si="18"/>
        <v>4375.4346133333329</v>
      </c>
      <c r="W14" s="75" t="str">
        <f t="shared" si="18"/>
        <v/>
      </c>
      <c r="X14" s="74" t="str">
        <f t="shared" si="18"/>
        <v/>
      </c>
      <c r="Y14" s="144">
        <f t="shared" si="18"/>
        <v>4375.4346133333329</v>
      </c>
      <c r="Z14" s="229">
        <f>D14</f>
        <v>15005.500000000002</v>
      </c>
      <c r="AA14" s="250">
        <f>D14*1.2</f>
        <v>18006.600000000002</v>
      </c>
      <c r="AB14" s="248">
        <f>(K14+R14+Y14)</f>
        <v>16130.343341666668</v>
      </c>
      <c r="AC14" s="247">
        <f>AB14*1.2</f>
        <v>19356.41201</v>
      </c>
      <c r="AD14" s="271">
        <f>K14+R14+Y14</f>
        <v>16130.343341666668</v>
      </c>
      <c r="AE14" s="272">
        <f>AD14*1.2</f>
        <v>19356.41201</v>
      </c>
      <c r="AF14" s="265">
        <f t="shared" ref="AF14:AK14" si="19">IF(SUBTOTAL(9,AF15:AF19)=0,"",SUBTOTAL(9,AF15:AF19))</f>
        <v>5865.9225825000003</v>
      </c>
      <c r="AG14" s="266" t="str">
        <f t="shared" si="19"/>
        <v/>
      </c>
      <c r="AH14" s="265">
        <f t="shared" si="19"/>
        <v>5888.9861458333344</v>
      </c>
      <c r="AI14" s="266" t="str">
        <f t="shared" si="19"/>
        <v/>
      </c>
      <c r="AJ14" s="265">
        <f t="shared" si="19"/>
        <v>4375.4346133333329</v>
      </c>
      <c r="AK14" s="266" t="str">
        <f t="shared" si="19"/>
        <v/>
      </c>
    </row>
    <row r="15" spans="1:37" s="6" customFormat="1" ht="15" customHeight="1" outlineLevel="1" x14ac:dyDescent="0.2">
      <c r="A15" s="137">
        <v>1</v>
      </c>
      <c r="B15" s="79" t="s">
        <v>30</v>
      </c>
      <c r="C15" s="80" t="s">
        <v>10</v>
      </c>
      <c r="D15" s="97">
        <f>714.9/1.2</f>
        <v>595.75</v>
      </c>
      <c r="E15" s="145">
        <v>2</v>
      </c>
      <c r="F15" s="27"/>
      <c r="G15" s="27"/>
      <c r="H15" s="27">
        <f>$D$32*D15*E15</f>
        <v>1237.5276449999999</v>
      </c>
      <c r="I15" s="19"/>
      <c r="J15" s="146">
        <f>D15*$D$32*E15-K15</f>
        <v>0</v>
      </c>
      <c r="K15" s="89">
        <f>SUM(F15:I15)</f>
        <v>1237.5276449999999</v>
      </c>
      <c r="L15" s="147">
        <v>3</v>
      </c>
      <c r="M15" s="27"/>
      <c r="N15" s="27"/>
      <c r="O15" s="27">
        <f>$D$33*$D15*$L15</f>
        <v>1927.9959375000001</v>
      </c>
      <c r="P15" s="19"/>
      <c r="Q15" s="146">
        <f>D15*$D$33*L15-R15</f>
        <v>0</v>
      </c>
      <c r="R15" s="45">
        <f>SUM(M15:P15)</f>
        <v>1927.9959375000001</v>
      </c>
      <c r="S15" s="148">
        <v>5</v>
      </c>
      <c r="T15" s="17"/>
      <c r="U15" s="27"/>
      <c r="V15" s="27">
        <f>$D$34*S15*D15</f>
        <v>3343.0213374999998</v>
      </c>
      <c r="W15" s="19"/>
      <c r="X15" s="146">
        <f>D15*$D$34*S15-Y15</f>
        <v>0</v>
      </c>
      <c r="Y15" s="143">
        <f>SUM(T15:W15)</f>
        <v>3343.0213374999998</v>
      </c>
      <c r="Z15" s="241"/>
      <c r="AA15" s="251"/>
      <c r="AB15" s="232"/>
      <c r="AC15" s="233"/>
      <c r="AD15" s="263"/>
      <c r="AE15" s="264"/>
      <c r="AF15" s="263">
        <f t="shared" ref="AF15:AF19" si="20">K15</f>
        <v>1237.5276449999999</v>
      </c>
      <c r="AG15" s="264"/>
      <c r="AH15" s="263">
        <f t="shared" si="15"/>
        <v>1927.9959375000001</v>
      </c>
      <c r="AI15" s="264"/>
      <c r="AJ15" s="263">
        <f>Y15</f>
        <v>3343.0213374999998</v>
      </c>
      <c r="AK15" s="264"/>
    </row>
    <row r="16" spans="1:37" s="6" customFormat="1" ht="15" customHeight="1" outlineLevel="1" x14ac:dyDescent="0.2">
      <c r="A16" s="139">
        <v>2</v>
      </c>
      <c r="B16" s="149" t="s">
        <v>29</v>
      </c>
      <c r="C16" s="150" t="s">
        <v>10</v>
      </c>
      <c r="D16" s="19">
        <f>604.5/1.2</f>
        <v>503.75</v>
      </c>
      <c r="E16" s="46"/>
      <c r="F16" s="27"/>
      <c r="G16" s="27"/>
      <c r="H16" s="27"/>
      <c r="I16" s="19"/>
      <c r="J16" s="35">
        <f>D16*$D$32*E16-K16</f>
        <v>0</v>
      </c>
      <c r="K16" s="89">
        <f>SUM(F16:I16)</f>
        <v>0</v>
      </c>
      <c r="L16" s="95">
        <v>1</v>
      </c>
      <c r="M16" s="27"/>
      <c r="N16" s="27"/>
      <c r="O16" s="27">
        <f>$D$33*$D16*$L16</f>
        <v>543.42031250000002</v>
      </c>
      <c r="P16" s="19"/>
      <c r="Q16" s="35">
        <f>D16*$D$33*L16-R16</f>
        <v>0</v>
      </c>
      <c r="R16" s="45">
        <f>SUM(M16:P16)</f>
        <v>543.42031250000002</v>
      </c>
      <c r="S16" s="98"/>
      <c r="T16" s="17"/>
      <c r="U16" s="27"/>
      <c r="V16" s="27"/>
      <c r="W16" s="19"/>
      <c r="X16" s="35">
        <f>D16*$D$34*S16-Y16</f>
        <v>0</v>
      </c>
      <c r="Y16" s="143">
        <f>SUM(T16:W16)</f>
        <v>0</v>
      </c>
      <c r="Z16" s="234"/>
      <c r="AA16" s="251"/>
      <c r="AB16" s="232"/>
      <c r="AC16" s="233"/>
      <c r="AD16" s="263"/>
      <c r="AE16" s="264"/>
      <c r="AF16" s="263">
        <f t="shared" si="20"/>
        <v>0</v>
      </c>
      <c r="AG16" s="264"/>
      <c r="AH16" s="263">
        <f t="shared" si="15"/>
        <v>543.42031250000002</v>
      </c>
      <c r="AI16" s="264"/>
      <c r="AJ16" s="263">
        <f t="shared" ref="AJ16:AJ19" si="21">Y16</f>
        <v>0</v>
      </c>
      <c r="AK16" s="264"/>
    </row>
    <row r="17" spans="1:37" s="6" customFormat="1" ht="15" customHeight="1" outlineLevel="1" x14ac:dyDescent="0.2">
      <c r="A17" s="139">
        <v>3</v>
      </c>
      <c r="B17" s="124" t="s">
        <v>31</v>
      </c>
      <c r="C17" s="125" t="s">
        <v>10</v>
      </c>
      <c r="D17" s="126">
        <f>(1091.9+12)/1.2</f>
        <v>919.91666666666674</v>
      </c>
      <c r="E17" s="127">
        <v>1</v>
      </c>
      <c r="F17" s="27"/>
      <c r="G17" s="27"/>
      <c r="H17" s="27">
        <f>$D$32*D17*E17</f>
        <v>955.45304750000003</v>
      </c>
      <c r="I17" s="126"/>
      <c r="J17" s="35">
        <f>D17*$D$32*E17-K17</f>
        <v>0</v>
      </c>
      <c r="K17" s="68">
        <f>SUM(F17:I17)</f>
        <v>955.45304750000003</v>
      </c>
      <c r="L17" s="96"/>
      <c r="M17" s="27"/>
      <c r="N17" s="27"/>
      <c r="O17" s="27"/>
      <c r="P17" s="13"/>
      <c r="Q17" s="35">
        <f>D17*$D$33*L17-R17</f>
        <v>0</v>
      </c>
      <c r="R17" s="45">
        <f>SUM(M17:P17)</f>
        <v>0</v>
      </c>
      <c r="S17" s="151">
        <v>1</v>
      </c>
      <c r="T17" s="17"/>
      <c r="U17" s="27"/>
      <c r="V17" s="27">
        <f>$D$34*S17*D17</f>
        <v>1032.4132758333335</v>
      </c>
      <c r="W17" s="126"/>
      <c r="X17" s="35">
        <f>D17*$D$34*S17-Y17</f>
        <v>0</v>
      </c>
      <c r="Y17" s="143">
        <f>SUM(T17:W17)</f>
        <v>1032.4132758333335</v>
      </c>
      <c r="Z17" s="234"/>
      <c r="AA17" s="251"/>
      <c r="AB17" s="232"/>
      <c r="AC17" s="233"/>
      <c r="AD17" s="263"/>
      <c r="AE17" s="264"/>
      <c r="AF17" s="263">
        <f t="shared" si="20"/>
        <v>955.45304750000003</v>
      </c>
      <c r="AG17" s="264"/>
      <c r="AH17" s="263">
        <f t="shared" si="15"/>
        <v>0</v>
      </c>
      <c r="AI17" s="264"/>
      <c r="AJ17" s="263">
        <f t="shared" si="21"/>
        <v>1032.4132758333335</v>
      </c>
      <c r="AK17" s="264"/>
    </row>
    <row r="18" spans="1:37" s="6" customFormat="1" ht="14.25" customHeight="1" outlineLevel="1" x14ac:dyDescent="0.2">
      <c r="A18" s="139">
        <v>4</v>
      </c>
      <c r="B18" s="124" t="s">
        <v>36</v>
      </c>
      <c r="C18" s="125" t="s">
        <v>10</v>
      </c>
      <c r="D18" s="126">
        <f>1679.9/1.2</f>
        <v>1399.9166666666667</v>
      </c>
      <c r="E18" s="127"/>
      <c r="F18" s="27"/>
      <c r="G18" s="27"/>
      <c r="H18" s="27"/>
      <c r="I18" s="126"/>
      <c r="J18" s="35">
        <f>D18*$D$32*E18-K18</f>
        <v>0</v>
      </c>
      <c r="K18" s="68">
        <f>SUM(F18:I18)</f>
        <v>0</v>
      </c>
      <c r="L18" s="95">
        <v>1</v>
      </c>
      <c r="M18" s="27"/>
      <c r="N18" s="27"/>
      <c r="O18" s="27">
        <f>$D$33*$D18*$L18</f>
        <v>1510.160104166667</v>
      </c>
      <c r="P18" s="126"/>
      <c r="Q18" s="35">
        <f>D18*$D$33*L18-R18</f>
        <v>0</v>
      </c>
      <c r="R18" s="45">
        <f>SUM(M18:P18)</f>
        <v>1510.160104166667</v>
      </c>
      <c r="S18" s="98"/>
      <c r="T18" s="17"/>
      <c r="U18" s="27"/>
      <c r="V18" s="27"/>
      <c r="W18" s="126"/>
      <c r="X18" s="35">
        <f>D18*$D$34*S18-Y18</f>
        <v>0</v>
      </c>
      <c r="Y18" s="143">
        <f>SUM(T18:W18)</f>
        <v>0</v>
      </c>
      <c r="Z18" s="234"/>
      <c r="AA18" s="251"/>
      <c r="AB18" s="232"/>
      <c r="AC18" s="233"/>
      <c r="AD18" s="263"/>
      <c r="AE18" s="264"/>
      <c r="AF18" s="263">
        <f t="shared" si="20"/>
        <v>0</v>
      </c>
      <c r="AG18" s="264"/>
      <c r="AH18" s="263">
        <f t="shared" si="15"/>
        <v>1510.160104166667</v>
      </c>
      <c r="AI18" s="264"/>
      <c r="AJ18" s="263">
        <f t="shared" si="21"/>
        <v>0</v>
      </c>
      <c r="AK18" s="264"/>
    </row>
    <row r="19" spans="1:37" s="6" customFormat="1" ht="15" customHeight="1" outlineLevel="1" x14ac:dyDescent="0.2">
      <c r="A19" s="139">
        <v>5</v>
      </c>
      <c r="B19" s="124" t="s">
        <v>25</v>
      </c>
      <c r="C19" s="125" t="s">
        <v>10</v>
      </c>
      <c r="D19" s="126">
        <f>1060.9/1.2</f>
        <v>884.08333333333348</v>
      </c>
      <c r="E19" s="127">
        <v>4</v>
      </c>
      <c r="F19" s="27"/>
      <c r="G19" s="27"/>
      <c r="H19" s="27">
        <f>$D$32*D19*E19</f>
        <v>3672.9418900000005</v>
      </c>
      <c r="I19" s="126"/>
      <c r="J19" s="35">
        <f>D19*$D$32*E19-K19</f>
        <v>0</v>
      </c>
      <c r="K19" s="68">
        <f>SUM(F19:I19)</f>
        <v>3672.9418900000005</v>
      </c>
      <c r="L19" s="96">
        <v>2</v>
      </c>
      <c r="M19" s="27"/>
      <c r="N19" s="27"/>
      <c r="O19" s="27">
        <f>$D$33*$D19*$L19</f>
        <v>1907.4097916666672</v>
      </c>
      <c r="P19" s="13"/>
      <c r="Q19" s="35">
        <f>D19*$D$33*L19-R19</f>
        <v>0</v>
      </c>
      <c r="R19" s="45">
        <f>SUM(M19:P19)</f>
        <v>1907.4097916666672</v>
      </c>
      <c r="S19" s="152"/>
      <c r="T19" s="17"/>
      <c r="U19" s="27"/>
      <c r="V19" s="27"/>
      <c r="W19" s="126"/>
      <c r="X19" s="35">
        <f>D19*$D$34*S19-Y19</f>
        <v>0</v>
      </c>
      <c r="Y19" s="143">
        <f>SUM(T19:W19)</f>
        <v>0</v>
      </c>
      <c r="Z19" s="234"/>
      <c r="AA19" s="251"/>
      <c r="AB19" s="232"/>
      <c r="AC19" s="233"/>
      <c r="AD19" s="263"/>
      <c r="AE19" s="264"/>
      <c r="AF19" s="263">
        <f t="shared" si="20"/>
        <v>3672.9418900000005</v>
      </c>
      <c r="AG19" s="264"/>
      <c r="AH19" s="263">
        <f t="shared" si="15"/>
        <v>1907.4097916666672</v>
      </c>
      <c r="AI19" s="264"/>
      <c r="AJ19" s="263">
        <f t="shared" si="21"/>
        <v>0</v>
      </c>
      <c r="AK19" s="264"/>
    </row>
    <row r="20" spans="1:37" s="7" customFormat="1" ht="47.25" customHeight="1" x14ac:dyDescent="0.2">
      <c r="A20" s="281" t="s">
        <v>52</v>
      </c>
      <c r="B20" s="282"/>
      <c r="C20" s="282"/>
      <c r="D20" s="82">
        <f>R20/D33</f>
        <v>11600</v>
      </c>
      <c r="E20" s="153"/>
      <c r="F20" s="154" t="str">
        <f t="shared" ref="F20:K20" si="22">IF(SUBTOTAL(9,F21:F21)=0,"",SUBTOTAL(9,F21:F21))</f>
        <v/>
      </c>
      <c r="G20" s="154" t="str">
        <f t="shared" si="22"/>
        <v/>
      </c>
      <c r="H20" s="155" t="str">
        <f t="shared" si="22"/>
        <v/>
      </c>
      <c r="I20" s="155" t="str">
        <f t="shared" si="22"/>
        <v/>
      </c>
      <c r="J20" s="154" t="str">
        <f t="shared" si="22"/>
        <v/>
      </c>
      <c r="K20" s="156" t="str">
        <f t="shared" si="22"/>
        <v/>
      </c>
      <c r="L20" s="76"/>
      <c r="M20" s="156" t="str">
        <f t="shared" ref="M20:R20" si="23">IF(SUBTOTAL(9,M21:M21)=0,"",SUBTOTAL(9,M21:M21))</f>
        <v/>
      </c>
      <c r="N20" s="155" t="str">
        <f t="shared" si="23"/>
        <v/>
      </c>
      <c r="O20" s="155" t="str">
        <f t="shared" si="23"/>
        <v/>
      </c>
      <c r="P20" s="155">
        <f t="shared" si="23"/>
        <v>12513.500000000002</v>
      </c>
      <c r="Q20" s="154" t="str">
        <f t="shared" si="23"/>
        <v/>
      </c>
      <c r="R20" s="157">
        <f t="shared" si="23"/>
        <v>12513.500000000002</v>
      </c>
      <c r="S20" s="78"/>
      <c r="T20" s="155" t="str">
        <f t="shared" ref="T20:Y20" si="24">IF(SUBTOTAL(9,T21:T21)=0,"",SUBTOTAL(9,T21:T21))</f>
        <v/>
      </c>
      <c r="U20" s="155" t="str">
        <f t="shared" si="24"/>
        <v/>
      </c>
      <c r="V20" s="155" t="str">
        <f t="shared" si="24"/>
        <v/>
      </c>
      <c r="W20" s="155" t="str">
        <f t="shared" si="24"/>
        <v/>
      </c>
      <c r="X20" s="154" t="str">
        <f t="shared" si="24"/>
        <v/>
      </c>
      <c r="Y20" s="158" t="str">
        <f t="shared" si="24"/>
        <v/>
      </c>
      <c r="Z20" s="229">
        <f>D20</f>
        <v>11600</v>
      </c>
      <c r="AA20" s="250">
        <f>D20*1.2</f>
        <v>13920</v>
      </c>
      <c r="AB20" s="248">
        <f>(R20)</f>
        <v>12513.500000000002</v>
      </c>
      <c r="AC20" s="247">
        <f>AB20*1.2</f>
        <v>15016.2</v>
      </c>
      <c r="AD20" s="271">
        <f>R20</f>
        <v>12513.500000000002</v>
      </c>
      <c r="AE20" s="272">
        <f>AD20*1.2</f>
        <v>15016.2</v>
      </c>
      <c r="AF20" s="265" t="str">
        <f t="shared" ref="AF20:AK20" si="25">IF(SUBTOTAL(9,AF21:AF21)=0,"",SUBTOTAL(9,AF21:AF21))</f>
        <v/>
      </c>
      <c r="AG20" s="266" t="str">
        <f t="shared" si="25"/>
        <v/>
      </c>
      <c r="AH20" s="265">
        <f t="shared" si="25"/>
        <v>6989.2291991666643</v>
      </c>
      <c r="AI20" s="266">
        <f t="shared" si="25"/>
        <v>5524.2708008333375</v>
      </c>
      <c r="AJ20" s="265" t="str">
        <f t="shared" si="25"/>
        <v/>
      </c>
      <c r="AK20" s="266" t="str">
        <f t="shared" si="25"/>
        <v/>
      </c>
    </row>
    <row r="21" spans="1:37" s="8" customFormat="1" ht="77.25" customHeight="1" outlineLevel="1" x14ac:dyDescent="0.2">
      <c r="A21" s="159">
        <v>1</v>
      </c>
      <c r="B21" s="149" t="s">
        <v>44</v>
      </c>
      <c r="C21" s="160" t="s">
        <v>12</v>
      </c>
      <c r="D21" s="115">
        <f>232*(60/1.2)</f>
        <v>11600</v>
      </c>
      <c r="E21" s="160"/>
      <c r="F21" s="25"/>
      <c r="G21" s="26"/>
      <c r="H21" s="26"/>
      <c r="I21" s="26"/>
      <c r="J21" s="30">
        <f>D21*$D$32*E21-K21</f>
        <v>0</v>
      </c>
      <c r="K21" s="90">
        <f>SUM(F21:I21)</f>
        <v>0</v>
      </c>
      <c r="L21" s="48">
        <v>1</v>
      </c>
      <c r="M21" s="25"/>
      <c r="N21" s="26"/>
      <c r="O21" s="26"/>
      <c r="P21" s="15">
        <f>L21*D21*D33</f>
        <v>12513.500000000002</v>
      </c>
      <c r="Q21" s="49">
        <f>$D21*$D$33*L21-R21</f>
        <v>0</v>
      </c>
      <c r="R21" s="47">
        <f>SUM(M21:P21)</f>
        <v>12513.500000000002</v>
      </c>
      <c r="S21" s="40"/>
      <c r="T21" s="25"/>
      <c r="U21" s="26"/>
      <c r="V21" s="26"/>
      <c r="W21" s="15"/>
      <c r="X21" s="49">
        <f>$D21*$D$34*S21-Y21</f>
        <v>0</v>
      </c>
      <c r="Y21" s="161">
        <f>SUM(T21:W21)</f>
        <v>0</v>
      </c>
      <c r="Z21" s="241"/>
      <c r="AA21" s="252"/>
      <c r="AB21" s="234"/>
      <c r="AC21" s="235"/>
      <c r="AD21" s="267"/>
      <c r="AE21" s="268"/>
      <c r="AF21" s="267">
        <v>0</v>
      </c>
      <c r="AG21" s="268"/>
      <c r="AH21" s="267">
        <v>6989.2291991666643</v>
      </c>
      <c r="AI21" s="268">
        <f>R20-AH21</f>
        <v>5524.2708008333375</v>
      </c>
      <c r="AJ21" s="267">
        <f>Y21</f>
        <v>0</v>
      </c>
      <c r="AK21" s="268"/>
    </row>
    <row r="22" spans="1:37" ht="30.75" customHeight="1" x14ac:dyDescent="0.2">
      <c r="A22" s="281" t="s">
        <v>53</v>
      </c>
      <c r="B22" s="282"/>
      <c r="C22" s="282"/>
      <c r="D22" s="82">
        <f>Y22/D34</f>
        <v>7970.74</v>
      </c>
      <c r="E22" s="153"/>
      <c r="F22" s="162" t="str">
        <f t="shared" ref="F22:Y22" si="26">IF(SUBTOTAL(9,F23:F23)=0,"",SUBTOTAL(9,F23:F23))</f>
        <v/>
      </c>
      <c r="G22" s="162" t="str">
        <f t="shared" si="26"/>
        <v/>
      </c>
      <c r="H22" s="162" t="str">
        <f t="shared" si="26"/>
        <v/>
      </c>
      <c r="I22" s="162" t="str">
        <f t="shared" si="26"/>
        <v/>
      </c>
      <c r="J22" s="163" t="str">
        <f t="shared" si="26"/>
        <v/>
      </c>
      <c r="K22" s="156" t="str">
        <f t="shared" si="26"/>
        <v/>
      </c>
      <c r="L22" s="76" t="str">
        <f t="shared" si="26"/>
        <v/>
      </c>
      <c r="M22" s="162" t="str">
        <f t="shared" si="26"/>
        <v/>
      </c>
      <c r="N22" s="162" t="str">
        <f t="shared" si="26"/>
        <v/>
      </c>
      <c r="O22" s="155" t="str">
        <f t="shared" si="26"/>
        <v/>
      </c>
      <c r="P22" s="162" t="str">
        <f t="shared" si="26"/>
        <v/>
      </c>
      <c r="Q22" s="163" t="str">
        <f t="shared" si="26"/>
        <v/>
      </c>
      <c r="R22" s="157" t="str">
        <f t="shared" si="26"/>
        <v/>
      </c>
      <c r="S22" s="78"/>
      <c r="T22" s="162" t="str">
        <f t="shared" si="26"/>
        <v/>
      </c>
      <c r="U22" s="155">
        <f t="shared" si="26"/>
        <v>2683.6445383800001</v>
      </c>
      <c r="V22" s="155">
        <f t="shared" si="26"/>
        <v>6261.8372562200002</v>
      </c>
      <c r="W22" s="162" t="str">
        <f t="shared" si="26"/>
        <v/>
      </c>
      <c r="X22" s="163" t="str">
        <f t="shared" si="26"/>
        <v/>
      </c>
      <c r="Y22" s="158">
        <f t="shared" si="26"/>
        <v>8945.4817946000003</v>
      </c>
      <c r="Z22" s="229">
        <f>D22</f>
        <v>7970.74</v>
      </c>
      <c r="AA22" s="250">
        <f>D22*1.2</f>
        <v>9564.887999999999</v>
      </c>
      <c r="AB22" s="248">
        <f>Y22</f>
        <v>8945.4817946000003</v>
      </c>
      <c r="AC22" s="247">
        <f>AB22*1.2</f>
        <v>10734.57815352</v>
      </c>
      <c r="AD22" s="271">
        <f>Y22</f>
        <v>8945.4817946000003</v>
      </c>
      <c r="AE22" s="272">
        <f>AD22*1.2</f>
        <v>10734.57815352</v>
      </c>
      <c r="AF22" s="271" t="str">
        <f t="shared" ref="AF22:AK22" si="27">IF(SUBTOTAL(9,AF23:AF23)=0,"",SUBTOTAL(9,AF23:AF23))</f>
        <v/>
      </c>
      <c r="AG22" s="272" t="str">
        <f t="shared" si="27"/>
        <v/>
      </c>
      <c r="AH22" s="271" t="str">
        <f t="shared" si="27"/>
        <v/>
      </c>
      <c r="AI22" s="272" t="str">
        <f t="shared" si="27"/>
        <v/>
      </c>
      <c r="AJ22" s="271">
        <f t="shared" si="27"/>
        <v>8945.4817946000003</v>
      </c>
      <c r="AK22" s="272" t="str">
        <f t="shared" si="27"/>
        <v/>
      </c>
    </row>
    <row r="23" spans="1:37" s="9" customFormat="1" ht="54" customHeight="1" outlineLevel="1" x14ac:dyDescent="0.2">
      <c r="A23" s="164">
        <v>1</v>
      </c>
      <c r="B23" s="165" t="s">
        <v>26</v>
      </c>
      <c r="C23" s="166" t="s">
        <v>12</v>
      </c>
      <c r="D23" s="167">
        <f>9564.888/1.2</f>
        <v>7970.7400000000007</v>
      </c>
      <c r="E23" s="168"/>
      <c r="F23" s="169"/>
      <c r="G23" s="170"/>
      <c r="H23" s="170"/>
      <c r="I23" s="171"/>
      <c r="J23" s="172">
        <f>D23*$D$32*E23-K23</f>
        <v>0</v>
      </c>
      <c r="K23" s="173">
        <f>SUM(F23:I23)</f>
        <v>0</v>
      </c>
      <c r="L23" s="174"/>
      <c r="M23" s="169"/>
      <c r="N23" s="170"/>
      <c r="O23" s="170"/>
      <c r="P23" s="171"/>
      <c r="Q23" s="172">
        <f>K23*$D$32*L23-R23</f>
        <v>0</v>
      </c>
      <c r="R23" s="175">
        <f>SUM(M23:P23)</f>
        <v>0</v>
      </c>
      <c r="S23" s="176">
        <v>1</v>
      </c>
      <c r="T23" s="169"/>
      <c r="U23" s="170">
        <f>D34*S23*D23*0.3</f>
        <v>2683.6445383800001</v>
      </c>
      <c r="V23" s="170">
        <f>D34*S23*D23*0.7</f>
        <v>6261.8372562200002</v>
      </c>
      <c r="W23" s="171"/>
      <c r="X23" s="172">
        <f>$D23*$D$34*S23-Y23</f>
        <v>0</v>
      </c>
      <c r="Y23" s="177">
        <f>SUM(T23:W23)</f>
        <v>8945.4817946000003</v>
      </c>
      <c r="Z23" s="241"/>
      <c r="AA23" s="252"/>
      <c r="AB23" s="234"/>
      <c r="AC23" s="235"/>
      <c r="AD23" s="269"/>
      <c r="AE23" s="270"/>
      <c r="AF23" s="259">
        <v>0</v>
      </c>
      <c r="AG23" s="260"/>
      <c r="AH23" s="259"/>
      <c r="AI23" s="260"/>
      <c r="AJ23" s="259">
        <f>Y23</f>
        <v>8945.4817946000003</v>
      </c>
      <c r="AK23" s="260"/>
    </row>
    <row r="24" spans="1:37" ht="60.75" customHeight="1" x14ac:dyDescent="0.2">
      <c r="A24" s="281" t="s">
        <v>54</v>
      </c>
      <c r="B24" s="283"/>
      <c r="C24" s="283"/>
      <c r="D24" s="178">
        <f>K24/D32+R24/D33+Y24/D34</f>
        <v>459020.42024010362</v>
      </c>
      <c r="E24" s="117"/>
      <c r="F24" s="118">
        <f>IF(SUBTOTAL(9,F25:F28)=0,"",SUBTOTAL(9,F25:F28))</f>
        <v>51948.226496116753</v>
      </c>
      <c r="G24" s="118">
        <f>IF(SUBTOTAL(9,G25:G28)=0,"",SUBTOTAL(9,G25:G28))</f>
        <v>36989.991485416751</v>
      </c>
      <c r="H24" s="118">
        <f>IF(SUBTOTAL(9,H25:H28)=0,"",SUBTOTAL(9,H25:H28))</f>
        <v>36989.991485416751</v>
      </c>
      <c r="I24" s="118">
        <f>IF(SUBTOTAL(9,I25:I28)=0,"",SUBTOTAL(9,I25:I28))</f>
        <v>36989.991485416751</v>
      </c>
      <c r="J24" s="119"/>
      <c r="K24" s="120">
        <f>SUBTOTAL(9,K25:K28)</f>
        <v>162918.20095236701</v>
      </c>
      <c r="L24" s="121"/>
      <c r="M24" s="118">
        <f>IF(SUBTOTAL(9,M25:M28)=0,"",SUBTOTAL(9,M25:M28))</f>
        <v>33747.792620458247</v>
      </c>
      <c r="N24" s="118">
        <f>IF(SUBTOTAL(9,N25:N28)=0,"",SUBTOTAL(9,N25:N28))</f>
        <v>33747.792620458247</v>
      </c>
      <c r="O24" s="118">
        <f>IF(SUBTOTAL(9,O25:O28)=0,"",SUBTOTAL(9,O25:O28))</f>
        <v>33747.792620458247</v>
      </c>
      <c r="P24" s="118">
        <f>IF(SUBTOTAL(9,P25:P28)=0,"",SUBTOTAL(9,P25:P28))</f>
        <v>33747.792620458247</v>
      </c>
      <c r="Q24" s="119"/>
      <c r="R24" s="122">
        <f>SUBTOTAL(9,R25:R28)</f>
        <v>134991.17048183299</v>
      </c>
      <c r="S24" s="123"/>
      <c r="T24" s="118">
        <f>IF(SUBTOTAL(9,T25:T28)=0,"",SUBTOTAL(9,T25:T28))</f>
        <v>49668.35076553675</v>
      </c>
      <c r="U24" s="118">
        <f>IF(SUBTOTAL(9,U25:U28)=0,"",SUBTOTAL(9,U25:U28))</f>
        <v>49668.35076553675</v>
      </c>
      <c r="V24" s="118">
        <f>IF(SUBTOTAL(9,V25:V28)=0,"",SUBTOTAL(9,V25:V28))</f>
        <v>49668.35076553675</v>
      </c>
      <c r="W24" s="118">
        <f>IF(SUBTOTAL(9,W25:W28)=0,"",SUBTOTAL(9,W25:W28))</f>
        <v>49668.35076553675</v>
      </c>
      <c r="X24" s="119"/>
      <c r="Y24" s="179">
        <f>SUBTOTAL(9,Y25:Y28)</f>
        <v>198673.403062147</v>
      </c>
      <c r="Z24" s="229">
        <f>D24</f>
        <v>459020.42024010362</v>
      </c>
      <c r="AA24" s="250">
        <f>D24*1.2</f>
        <v>550824.50428812427</v>
      </c>
      <c r="AB24" s="248">
        <f>(K24+R24+Y24)</f>
        <v>496582.77449634694</v>
      </c>
      <c r="AC24" s="247">
        <f>AB24*1.2</f>
        <v>595899.32939561631</v>
      </c>
      <c r="AD24" s="271">
        <f>K24+R24+Y24</f>
        <v>496582.77449634694</v>
      </c>
      <c r="AE24" s="272">
        <f>AD24*1.2</f>
        <v>595899.32939561631</v>
      </c>
      <c r="AF24" s="271">
        <f>SUBTOTAL(9,AF25:AF28)</f>
        <v>6504.2973536999925</v>
      </c>
      <c r="AG24" s="272">
        <f>SUBTOTAL(9,AG25:AG28)</f>
        <v>156413.90359866701</v>
      </c>
      <c r="AH24" s="271">
        <f t="shared" ref="AH24:AK24" si="28">SUBTOTAL(9,AH25:AH28)</f>
        <v>0</v>
      </c>
      <c r="AI24" s="272">
        <f t="shared" si="28"/>
        <v>134991.17048183299</v>
      </c>
      <c r="AJ24" s="271">
        <f t="shared" si="28"/>
        <v>324.6221583847946</v>
      </c>
      <c r="AK24" s="272">
        <f t="shared" si="28"/>
        <v>198348.78090376221</v>
      </c>
    </row>
    <row r="25" spans="1:37" s="9" customFormat="1" ht="40.5" customHeight="1" outlineLevel="1" x14ac:dyDescent="0.2">
      <c r="A25" s="180">
        <v>1</v>
      </c>
      <c r="B25" s="181" t="s">
        <v>17</v>
      </c>
      <c r="C25" s="182" t="s">
        <v>16</v>
      </c>
      <c r="D25" s="183">
        <f>K25/D32+R25/D33+Y25/D34</f>
        <v>349034.75858465629</v>
      </c>
      <c r="E25" s="184">
        <v>1</v>
      </c>
      <c r="F25" s="185">
        <f>K25*0.25</f>
        <v>29010.55817291675</v>
      </c>
      <c r="G25" s="185">
        <f>K25*0.25</f>
        <v>29010.55817291675</v>
      </c>
      <c r="H25" s="185">
        <f>K25*0.25</f>
        <v>29010.55817291675</v>
      </c>
      <c r="I25" s="185">
        <f>K25*0.25</f>
        <v>29010.55817291675</v>
      </c>
      <c r="J25" s="186"/>
      <c r="K25" s="187">
        <v>116042.232691667</v>
      </c>
      <c r="L25" s="188">
        <v>1</v>
      </c>
      <c r="M25" s="185">
        <f>R25*0.25</f>
        <v>26505.821729833249</v>
      </c>
      <c r="N25" s="185">
        <f>R25*0.25</f>
        <v>26505.821729833249</v>
      </c>
      <c r="O25" s="185">
        <f>R25*0.25</f>
        <v>26505.821729833249</v>
      </c>
      <c r="P25" s="185">
        <f>R25*0.25</f>
        <v>26505.821729833249</v>
      </c>
      <c r="Q25" s="189"/>
      <c r="R25" s="190">
        <v>106023.286919333</v>
      </c>
      <c r="S25" s="191">
        <v>1</v>
      </c>
      <c r="T25" s="185">
        <f>Y25*0.25</f>
        <v>39006.604921786748</v>
      </c>
      <c r="U25" s="185">
        <f>Y25*0.25</f>
        <v>39006.604921786748</v>
      </c>
      <c r="V25" s="185">
        <f>Y25*0.25</f>
        <v>39006.604921786748</v>
      </c>
      <c r="W25" s="185">
        <f>Y25*0.25</f>
        <v>39006.604921786748</v>
      </c>
      <c r="X25" s="189"/>
      <c r="Y25" s="192">
        <v>156026.41968714699</v>
      </c>
      <c r="Z25" s="242"/>
      <c r="AA25" s="251"/>
      <c r="AB25" s="232">
        <f>(K25+R25+Y25)</f>
        <v>378091.93929814699</v>
      </c>
      <c r="AC25" s="233"/>
      <c r="AD25" s="269"/>
      <c r="AE25" s="270">
        <f>K24*1.2</f>
        <v>195501.84114284042</v>
      </c>
      <c r="AF25" s="259">
        <f>K25-AG25</f>
        <v>6504.2973536999925</v>
      </c>
      <c r="AG25" s="260">
        <v>109537.93533796701</v>
      </c>
      <c r="AH25" s="259"/>
      <c r="AI25" s="260">
        <f>R25</f>
        <v>106023.286919333</v>
      </c>
      <c r="AJ25" s="259">
        <v>324.6221583847946</v>
      </c>
      <c r="AK25" s="260">
        <f>Y25-AJ25</f>
        <v>155701.7975287622</v>
      </c>
    </row>
    <row r="26" spans="1:37" s="9" customFormat="1" ht="51.75" customHeight="1" outlineLevel="1" x14ac:dyDescent="0.2">
      <c r="A26" s="193">
        <v>2</v>
      </c>
      <c r="B26" s="100" t="s">
        <v>27</v>
      </c>
      <c r="C26" s="50" t="s">
        <v>16</v>
      </c>
      <c r="D26" s="101">
        <f>K26/D32+R26/D33+Y26/D34</f>
        <v>95583.771655447257</v>
      </c>
      <c r="E26" s="56">
        <v>1</v>
      </c>
      <c r="F26" s="51">
        <f>K26*0.25</f>
        <v>7979.4333125000003</v>
      </c>
      <c r="G26" s="61">
        <f>K26*0.25</f>
        <v>7979.4333125000003</v>
      </c>
      <c r="H26" s="61">
        <f>K26*0.25</f>
        <v>7979.4333125000003</v>
      </c>
      <c r="I26" s="61">
        <f>K26*0.25</f>
        <v>7979.4333125000003</v>
      </c>
      <c r="J26" s="62"/>
      <c r="K26" s="53">
        <v>31917.733250000001</v>
      </c>
      <c r="L26" s="52"/>
      <c r="M26" s="51">
        <f>R26*0.25</f>
        <v>7241.9708906249998</v>
      </c>
      <c r="N26" s="61">
        <f>R26*0.25</f>
        <v>7241.9708906249998</v>
      </c>
      <c r="O26" s="61">
        <f>R26*0.25</f>
        <v>7241.9708906249998</v>
      </c>
      <c r="P26" s="61">
        <f>R26*0.25</f>
        <v>7241.9708906249998</v>
      </c>
      <c r="Q26" s="112"/>
      <c r="R26" s="113">
        <v>28967.883562499999</v>
      </c>
      <c r="S26" s="54">
        <v>1</v>
      </c>
      <c r="T26" s="51">
        <f>Y26*0.25</f>
        <v>10661.745843750001</v>
      </c>
      <c r="U26" s="61">
        <f>Y26*0.25</f>
        <v>10661.745843750001</v>
      </c>
      <c r="V26" s="61">
        <f>Y26*0.25</f>
        <v>10661.745843750001</v>
      </c>
      <c r="W26" s="61">
        <f>Y26*0.25</f>
        <v>10661.745843750001</v>
      </c>
      <c r="X26" s="112"/>
      <c r="Y26" s="114">
        <v>42646.983375000003</v>
      </c>
      <c r="Z26" s="234"/>
      <c r="AA26" s="251"/>
      <c r="AB26" s="232">
        <f>(K26+R26+Y26)</f>
        <v>103532.60018750001</v>
      </c>
      <c r="AC26" s="233"/>
      <c r="AD26" s="269"/>
      <c r="AE26" s="270"/>
      <c r="AF26" s="259"/>
      <c r="AG26" s="260">
        <f>K26</f>
        <v>31917.733250000001</v>
      </c>
      <c r="AH26" s="259"/>
      <c r="AI26" s="260">
        <f t="shared" ref="AI26:AI28" si="29">R26</f>
        <v>28967.883562499999</v>
      </c>
      <c r="AJ26" s="259"/>
      <c r="AK26" s="260">
        <f t="shared" ref="AK26:AK28" si="30">Y26</f>
        <v>42646.983375000003</v>
      </c>
    </row>
    <row r="27" spans="1:37" s="9" customFormat="1" ht="27" customHeight="1" outlineLevel="1" x14ac:dyDescent="0.2">
      <c r="A27" s="194">
        <v>3</v>
      </c>
      <c r="B27" s="102" t="s">
        <v>13</v>
      </c>
      <c r="C27" s="103" t="s">
        <v>16</v>
      </c>
      <c r="D27" s="105">
        <f>6475.2/1.2</f>
        <v>5396</v>
      </c>
      <c r="E27" s="104">
        <v>1</v>
      </c>
      <c r="F27" s="108">
        <f>E27*D27*D32</f>
        <v>5604.4474799999998</v>
      </c>
      <c r="G27" s="109"/>
      <c r="H27" s="103"/>
      <c r="I27" s="109"/>
      <c r="J27" s="106"/>
      <c r="K27" s="195">
        <f>SUM(F27:I27)</f>
        <v>5604.4474799999998</v>
      </c>
      <c r="L27" s="196"/>
      <c r="M27" s="108"/>
      <c r="N27" s="109"/>
      <c r="O27" s="103"/>
      <c r="P27" s="109"/>
      <c r="Q27" s="110"/>
      <c r="R27" s="197">
        <f>SUM(M27:P27)</f>
        <v>0</v>
      </c>
      <c r="S27" s="107"/>
      <c r="T27" s="108"/>
      <c r="U27" s="109"/>
      <c r="V27" s="103"/>
      <c r="W27" s="111"/>
      <c r="X27" s="110"/>
      <c r="Y27" s="198">
        <f>SUM(T27:W27)</f>
        <v>0</v>
      </c>
      <c r="Z27" s="234"/>
      <c r="AA27" s="251"/>
      <c r="AB27" s="232">
        <f>(K27+R27+Y27)</f>
        <v>5604.4474799999998</v>
      </c>
      <c r="AC27" s="233"/>
      <c r="AD27" s="269"/>
      <c r="AE27" s="270">
        <f>R24*1.2</f>
        <v>161989.40457819958</v>
      </c>
      <c r="AF27" s="259"/>
      <c r="AG27" s="260">
        <f>K27</f>
        <v>5604.4474799999998</v>
      </c>
      <c r="AH27" s="259"/>
      <c r="AI27" s="260">
        <f t="shared" si="29"/>
        <v>0</v>
      </c>
      <c r="AJ27" s="259"/>
      <c r="AK27" s="260">
        <f t="shared" si="30"/>
        <v>0</v>
      </c>
    </row>
    <row r="28" spans="1:37" s="9" customFormat="1" ht="26.25" customHeight="1" outlineLevel="1" x14ac:dyDescent="0.2">
      <c r="A28" s="199">
        <v>4</v>
      </c>
      <c r="B28" s="200" t="s">
        <v>32</v>
      </c>
      <c r="C28" s="201" t="s">
        <v>16</v>
      </c>
      <c r="D28" s="224">
        <f>(4750+6057.068)/1.2</f>
        <v>9005.89</v>
      </c>
      <c r="E28" s="202">
        <v>1</v>
      </c>
      <c r="F28" s="203">
        <f>E28*D28*D32</f>
        <v>9353.7875306999995</v>
      </c>
      <c r="G28" s="204"/>
      <c r="H28" s="201"/>
      <c r="I28" s="204"/>
      <c r="J28" s="205"/>
      <c r="K28" s="206">
        <f>SUM(F28:I28)</f>
        <v>9353.7875306999995</v>
      </c>
      <c r="L28" s="207"/>
      <c r="M28" s="203"/>
      <c r="N28" s="204"/>
      <c r="O28" s="201"/>
      <c r="P28" s="204"/>
      <c r="Q28" s="208"/>
      <c r="R28" s="209">
        <f>SUM(M28:P28)</f>
        <v>0</v>
      </c>
      <c r="S28" s="210"/>
      <c r="T28" s="203"/>
      <c r="U28" s="204"/>
      <c r="V28" s="201"/>
      <c r="W28" s="211"/>
      <c r="X28" s="208"/>
      <c r="Y28" s="212">
        <f>SUM(T28:W28)</f>
        <v>0</v>
      </c>
      <c r="Z28" s="243"/>
      <c r="AA28" s="253"/>
      <c r="AB28" s="236">
        <f>(K28+R28+Y28)</f>
        <v>9353.7875306999995</v>
      </c>
      <c r="AC28" s="237"/>
      <c r="AD28" s="269"/>
      <c r="AE28" s="270">
        <f>Y24*1.2</f>
        <v>238408.0836745764</v>
      </c>
      <c r="AF28" s="259"/>
      <c r="AG28" s="260">
        <f>K28</f>
        <v>9353.7875306999995</v>
      </c>
      <c r="AH28" s="259"/>
      <c r="AI28" s="260">
        <f t="shared" si="29"/>
        <v>0</v>
      </c>
      <c r="AJ28" s="259"/>
      <c r="AK28" s="260">
        <f t="shared" si="30"/>
        <v>0</v>
      </c>
    </row>
    <row r="31" spans="1:37" s="22" customFormat="1" x14ac:dyDescent="0.2">
      <c r="A31" s="4" t="s">
        <v>23</v>
      </c>
      <c r="B31" s="4"/>
      <c r="C31" s="4"/>
      <c r="D31" s="4"/>
      <c r="F31" s="24"/>
      <c r="G31" s="24"/>
      <c r="H31" s="24"/>
      <c r="I31" s="24"/>
      <c r="J31" s="34"/>
      <c r="K31" s="32"/>
      <c r="M31" s="24"/>
      <c r="N31" s="24"/>
      <c r="O31" s="24"/>
      <c r="P31" s="24"/>
      <c r="Q31" s="34"/>
      <c r="R31" s="24"/>
      <c r="T31" s="24"/>
      <c r="U31" s="24"/>
      <c r="V31" s="24"/>
      <c r="W31" s="24"/>
      <c r="X31" s="34"/>
      <c r="Y31" s="24"/>
      <c r="Z31" s="4"/>
      <c r="AA31" s="18"/>
      <c r="AB31" s="18"/>
      <c r="AC31" s="18"/>
    </row>
    <row r="32" spans="1:37" s="22" customFormat="1" x14ac:dyDescent="0.2">
      <c r="A32" s="4" t="s">
        <v>18</v>
      </c>
      <c r="B32" s="4"/>
      <c r="C32" s="4"/>
      <c r="D32" s="225">
        <v>1.0386299999999999</v>
      </c>
      <c r="F32" s="226">
        <v>1.0386299999999999</v>
      </c>
      <c r="G32" s="18"/>
      <c r="H32" s="24"/>
      <c r="I32" s="24"/>
      <c r="J32" s="34"/>
      <c r="K32" s="24"/>
      <c r="M32" s="24"/>
      <c r="N32" s="24"/>
      <c r="O32" s="24"/>
      <c r="P32" s="24"/>
      <c r="Q32" s="34"/>
      <c r="R32" s="24"/>
      <c r="T32" s="24"/>
      <c r="U32" s="24"/>
      <c r="V32" s="24"/>
      <c r="W32" s="24"/>
      <c r="X32" s="34"/>
      <c r="Y32" s="24"/>
      <c r="Z32" s="225"/>
      <c r="AA32" s="18"/>
      <c r="AB32" s="18"/>
      <c r="AC32" s="18"/>
    </row>
    <row r="33" spans="1:29" s="22" customFormat="1" x14ac:dyDescent="0.2">
      <c r="A33" s="4" t="s">
        <v>19</v>
      </c>
      <c r="B33" s="4"/>
      <c r="C33" s="4"/>
      <c r="D33" s="225">
        <f>ROUND(D32*F32,5)</f>
        <v>1.0787500000000001</v>
      </c>
      <c r="F33" s="226">
        <v>1.04036</v>
      </c>
      <c r="G33" s="24"/>
      <c r="H33" s="24"/>
      <c r="I33" s="24"/>
      <c r="J33" s="34"/>
      <c r="K33" s="24"/>
      <c r="M33" s="24"/>
      <c r="N33" s="24"/>
      <c r="O33" s="24"/>
      <c r="P33" s="24"/>
      <c r="Q33" s="34"/>
      <c r="R33" s="24"/>
      <c r="T33" s="24"/>
      <c r="U33" s="24"/>
      <c r="V33" s="24"/>
      <c r="W33" s="24"/>
      <c r="X33" s="34"/>
      <c r="Y33" s="24"/>
      <c r="Z33" s="225"/>
      <c r="AA33" s="18"/>
      <c r="AB33" s="18"/>
      <c r="AC33" s="18"/>
    </row>
    <row r="34" spans="1:29" s="22" customFormat="1" x14ac:dyDescent="0.2">
      <c r="A34" s="4" t="s">
        <v>22</v>
      </c>
      <c r="B34" s="4"/>
      <c r="C34" s="4"/>
      <c r="D34" s="225">
        <f>ROUND(D33*F33,5)</f>
        <v>1.12229</v>
      </c>
      <c r="F34" s="226">
        <v>1.03989</v>
      </c>
      <c r="G34" s="24"/>
      <c r="H34" s="24"/>
      <c r="I34" s="24"/>
      <c r="J34" s="34"/>
      <c r="K34" s="24"/>
      <c r="M34" s="24"/>
      <c r="N34" s="24"/>
      <c r="O34" s="24"/>
      <c r="P34" s="24"/>
      <c r="Q34" s="34"/>
      <c r="R34" s="24"/>
      <c r="T34" s="24"/>
      <c r="U34" s="24"/>
      <c r="V34" s="24"/>
      <c r="W34" s="24"/>
      <c r="X34" s="34"/>
      <c r="Y34" s="24"/>
      <c r="Z34" s="225"/>
      <c r="AA34" s="18"/>
      <c r="AB34" s="18"/>
      <c r="AC34" s="18"/>
    </row>
    <row r="35" spans="1:29" s="22" customFormat="1" x14ac:dyDescent="0.2">
      <c r="A35" s="12"/>
      <c r="B35" s="10"/>
      <c r="C35" s="4"/>
      <c r="D35" s="4"/>
      <c r="F35" s="24"/>
      <c r="G35" s="24"/>
      <c r="H35" s="24"/>
      <c r="I35" s="24"/>
      <c r="J35" s="34"/>
      <c r="K35" s="24"/>
      <c r="M35" s="24"/>
      <c r="N35" s="24"/>
      <c r="O35" s="24"/>
      <c r="P35" s="24"/>
      <c r="Q35" s="34"/>
      <c r="R35" s="24"/>
      <c r="T35" s="24"/>
      <c r="U35" s="24"/>
      <c r="V35" s="24"/>
      <c r="W35" s="24"/>
      <c r="X35" s="34"/>
      <c r="Y35" s="24"/>
      <c r="Z35" s="4"/>
      <c r="AA35" s="18"/>
      <c r="AB35" s="18"/>
      <c r="AC35" s="18"/>
    </row>
    <row r="36" spans="1:29" s="22" customFormat="1" x14ac:dyDescent="0.2">
      <c r="A36" s="12"/>
      <c r="B36" s="10"/>
      <c r="C36" s="4"/>
      <c r="D36" s="4"/>
      <c r="F36" s="24"/>
      <c r="G36" s="24"/>
      <c r="H36" s="24"/>
      <c r="I36" s="24"/>
      <c r="J36" s="92"/>
      <c r="K36" s="91"/>
      <c r="M36" s="24"/>
      <c r="N36" s="24"/>
      <c r="O36" s="24"/>
      <c r="P36" s="24"/>
      <c r="Q36" s="34"/>
      <c r="R36" s="24"/>
      <c r="T36" s="24"/>
      <c r="U36" s="24"/>
      <c r="V36" s="24"/>
      <c r="W36" s="24"/>
      <c r="X36" s="34"/>
      <c r="Y36" s="24"/>
      <c r="Z36" s="4"/>
      <c r="AA36" s="18"/>
      <c r="AB36" s="18"/>
      <c r="AC36" s="18"/>
    </row>
    <row r="37" spans="1:29" s="22" customFormat="1" x14ac:dyDescent="0.2">
      <c r="A37" s="12"/>
      <c r="B37" s="10"/>
      <c r="C37" s="4"/>
      <c r="D37" s="4"/>
      <c r="F37" s="24"/>
      <c r="G37" s="24"/>
      <c r="H37" s="24"/>
      <c r="I37" s="24"/>
      <c r="J37" s="34"/>
      <c r="K37" s="93"/>
      <c r="M37" s="24"/>
      <c r="N37" s="24"/>
      <c r="O37" s="24"/>
      <c r="P37" s="24"/>
      <c r="Q37" s="34"/>
      <c r="R37" s="24"/>
      <c r="T37" s="24"/>
      <c r="U37" s="24"/>
      <c r="V37" s="24"/>
      <c r="W37" s="24"/>
      <c r="X37" s="34"/>
      <c r="Y37" s="24"/>
      <c r="Z37" s="4"/>
      <c r="AA37" s="18"/>
      <c r="AB37" s="18"/>
      <c r="AC37" s="18"/>
    </row>
    <row r="38" spans="1:29" x14ac:dyDescent="0.2">
      <c r="D38" s="277"/>
      <c r="G38" s="278"/>
    </row>
    <row r="39" spans="1:29" x14ac:dyDescent="0.2">
      <c r="D39" s="22"/>
      <c r="G39" s="278"/>
    </row>
    <row r="40" spans="1:29" x14ac:dyDescent="0.2">
      <c r="K40" s="32"/>
    </row>
    <row r="45" spans="1:29" x14ac:dyDescent="0.2">
      <c r="F45" s="227"/>
    </row>
    <row r="46" spans="1:29" x14ac:dyDescent="0.2">
      <c r="K46" s="32"/>
    </row>
    <row r="47" spans="1:29" x14ac:dyDescent="0.2">
      <c r="F47" s="227"/>
    </row>
    <row r="49" spans="6:6" x14ac:dyDescent="0.2">
      <c r="F49" s="227"/>
    </row>
    <row r="51" spans="6:6" x14ac:dyDescent="0.2">
      <c r="F51" s="227"/>
    </row>
    <row r="53" spans="6:6" x14ac:dyDescent="0.2">
      <c r="F53" s="227"/>
    </row>
    <row r="55" spans="6:6" x14ac:dyDescent="0.2">
      <c r="F55" s="227"/>
    </row>
  </sheetData>
  <mergeCells count="20">
    <mergeCell ref="A2:Y2"/>
    <mergeCell ref="A4:B5"/>
    <mergeCell ref="C4:C5"/>
    <mergeCell ref="D4:D5"/>
    <mergeCell ref="E4:K4"/>
    <mergeCell ref="L4:R4"/>
    <mergeCell ref="S4:Y4"/>
    <mergeCell ref="A24:C24"/>
    <mergeCell ref="AD4:AE4"/>
    <mergeCell ref="Z4:AA4"/>
    <mergeCell ref="AB4:AC4"/>
    <mergeCell ref="A6:C6"/>
    <mergeCell ref="A7:C7"/>
    <mergeCell ref="A14:C14"/>
    <mergeCell ref="A20:C20"/>
    <mergeCell ref="AF3:AK3"/>
    <mergeCell ref="AF4:AG4"/>
    <mergeCell ref="AJ4:AK4"/>
    <mergeCell ref="AH4:AI4"/>
    <mergeCell ref="A22:C22"/>
  </mergeCells>
  <pageMargins left="0.39" right="0.39" top="0.78" bottom="0.47" header="0.72" footer="0.24"/>
  <pageSetup paperSize="9" scale="82" firstPageNumber="0" fitToHeight="0" orientation="landscape" r:id="rId1"/>
  <headerFooter alignWithMargins="0">
    <oddFooter>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 22-24 (2021.06.24)</vt:lpstr>
      <vt:lpstr>'ИП 22-24 (2021.06.24)'!Область_печати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И. Долгов</dc:creator>
  <cp:lastModifiedBy>Олег И. Долгов</cp:lastModifiedBy>
  <cp:lastPrinted>2021-06-23T04:54:57Z</cp:lastPrinted>
  <dcterms:created xsi:type="dcterms:W3CDTF">2018-04-11T11:58:59Z</dcterms:created>
  <dcterms:modified xsi:type="dcterms:W3CDTF">2021-06-23T15:35:38Z</dcterms:modified>
</cp:coreProperties>
</file>